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ctrlProps/ctrlProp4.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2.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mc:AlternateContent xmlns:mc="http://schemas.openxmlformats.org/markup-compatibility/2006">
    <mc:Choice Requires="x15">
      <x15ac:absPath xmlns:x15ac="http://schemas.microsoft.com/office/spreadsheetml/2010/11/ac" url="C:\Users\ubuntu\Desktop\"/>
    </mc:Choice>
  </mc:AlternateContent>
  <xr:revisionPtr revIDLastSave="0" documentId="8_{D7D4BC12-8A38-45CF-ACBA-5F21D261FFE9}" xr6:coauthVersionLast="47" xr6:coauthVersionMax="47" xr10:uidLastSave="{00000000-0000-0000-0000-000000000000}"/>
  <bookViews>
    <workbookView xWindow="-120" yWindow="-120" windowWidth="29040" windowHeight="16440" firstSheet="2" activeTab="2" xr2:uid="{BDD51D3D-FC28-4FBF-BF43-934B2FB63E04}"/>
  </bookViews>
  <sheets>
    <sheet name="Introduction" sheetId="50494" r:id="rId1"/>
    <sheet name="Boundary Questions" sheetId="50498" r:id="rId2"/>
    <sheet name="Summary" sheetId="50477" r:id="rId3"/>
    <sheet name="Stationary Combustion" sheetId="50478" r:id="rId4"/>
    <sheet name="Mobile Sources" sheetId="50480" r:id="rId5"/>
    <sheet name="Refrigeration and AC" sheetId="50481" r:id="rId6"/>
    <sheet name="Fire Suppression" sheetId="50482" r:id="rId7"/>
    <sheet name="Purchased Gases" sheetId="50513" r:id="rId8"/>
    <sheet name="Electricity" sheetId="50483" r:id="rId9"/>
    <sheet name="Steam" sheetId="50484" r:id="rId10"/>
    <sheet name="Business Travel" sheetId="50486" r:id="rId11"/>
    <sheet name="Commuting" sheetId="50496" r:id="rId12"/>
    <sheet name="Upstream Trans and Dist" sheetId="50489" r:id="rId13"/>
    <sheet name="Waste" sheetId="50515" r:id="rId14"/>
    <sheet name="Offsets" sheetId="50491" r:id="rId15"/>
    <sheet name="Unit Conversions" sheetId="50474" r:id="rId16"/>
    <sheet name="Heat Content" sheetId="50493" r:id="rId17"/>
    <sheet name="Emission Factors" sheetId="50492" r:id="rId18"/>
    <sheet name="DropDown" sheetId="50495" r:id="rId19"/>
    <sheet name="Help - Data Management" sheetId="50512" r:id="rId20"/>
    <sheet name="Help - Stationary Combustion" sheetId="50502" r:id="rId21"/>
    <sheet name="Help - Mobile Sources" sheetId="50503" r:id="rId22"/>
    <sheet name="Help - Refrigeration and AC" sheetId="50504" r:id="rId23"/>
    <sheet name="Help - Fire Suppression" sheetId="50505" r:id="rId24"/>
    <sheet name="Help - Purchased Gases" sheetId="50514" r:id="rId25"/>
    <sheet name="Help - Electricity" sheetId="50507" r:id="rId26"/>
    <sheet name="Help - Market-Based Method" sheetId="50501" r:id="rId27"/>
    <sheet name="Help - Steam" sheetId="50508" r:id="rId28"/>
    <sheet name="Help - Business Travel" sheetId="50509" r:id="rId29"/>
    <sheet name="Help - Commuting" sheetId="50510" r:id="rId30"/>
    <sheet name="Help - Upstream Trans and Dist" sheetId="50511" r:id="rId31"/>
    <sheet name="Help - Waste" sheetId="50516" r:id="rId32"/>
    <sheet name="Help - Offsets" sheetId="50500" r:id="rId33"/>
  </sheets>
  <externalReferences>
    <externalReference r:id="rId34"/>
  </externalReferences>
  <definedNames>
    <definedName name="_xlnm._FilterDatabase" localSheetId="10" hidden="1">'Business Travel'!$C$207:$C$207</definedName>
    <definedName name="_xlnm._FilterDatabase" localSheetId="11" hidden="1">Commuting!#REF!</definedName>
    <definedName name="_xlnm._FilterDatabase" localSheetId="4" hidden="1">'Mobile Sources'!$A$20:$H$103</definedName>
    <definedName name="Aluminum_Cans">DropDown!$Y$2:$Y$4</definedName>
    <definedName name="Aluminum_Ingot">DropDown!$Z$2:$Z$4</definedName>
    <definedName name="Asphalt_Concrete">DropDown!$CA$2:$CA$3</definedName>
    <definedName name="Asphalt_Shingles">DropDown!$CB$2:$CB$4</definedName>
    <definedName name="Beef">DropDown!$AV$2:$AV$6</definedName>
    <definedName name="Biodiesel_Heavy_Duty_CH4">'Emission Factors'!$D$190</definedName>
    <definedName name="Biodiesel_Heavy_Duty_N2O">'Emission Factors'!$E$190</definedName>
    <definedName name="Biodiesel_Lt_Duty_CH4">'Emission Factors'!$D$189</definedName>
    <definedName name="Biodiesel_Lt_Duty_N2O">'Emission Factors'!$E$189</definedName>
    <definedName name="Biz_Travel_Fctr">'Emission Factors'!$A$350:$D$361</definedName>
    <definedName name="BizTravel_Air">DropDown!$O$2:$O$4</definedName>
    <definedName name="BizTravel_PassMiles">DropDown!$N$2:$N$7</definedName>
    <definedName name="BizTravel_Vehicle">DropDown!$M$2:$M$4</definedName>
    <definedName name="Branches">DropDown!$BE$2:$BE$5</definedName>
    <definedName name="Bread">DropDown!$AY$2:$AY$6</definedName>
    <definedName name="C_AtomicMass">'Emission Factors'!$B$313</definedName>
    <definedName name="Carpet">DropDown!$BO$2:$BO$3</definedName>
    <definedName name="CH4_GWP">'Emission Factors'!$B$238</definedName>
    <definedName name="Clay_Bricks">DropDown!$BW$2</definedName>
    <definedName name="CNG_Buses_CH4">'Emission Factors'!$D$166</definedName>
    <definedName name="CNG_Buses_N2O">'Emission Factors'!$E$166</definedName>
    <definedName name="CNG_Heavy_Duty_CH4">'Emission Factors'!$D$165</definedName>
    <definedName name="CNG_Heavy_Duty_N2O">'Emission Factors'!$E$164</definedName>
    <definedName name="CNG_Lt_Duty_CH4">'Emission Factors'!$D$164</definedName>
    <definedName name="CNG_Lt_Duty_N2O">'Emission Factors'!$E$164</definedName>
    <definedName name="Concrete">DropDown!$BX$2:$BX$3</definedName>
    <definedName name="Copper_Wire">DropDown!$AB$2:$AB$4</definedName>
    <definedName name="Corrugated_Containers">DropDown!$AL$2:$AL$4</definedName>
    <definedName name="CRT_Displays">DropDown!$BS$2:$BS$3</definedName>
    <definedName name="Dairy_Products">DropDown!$BA$2:$BA$6</definedName>
    <definedName name="Data_Entry_Sheet">Introduction!$E$25</definedName>
    <definedName name="Data_Entry_Sheet2">'Help - Data Management'!$C$2</definedName>
    <definedName name="Desktop_CPUs">DropDown!$BP$2:$BP$3</definedName>
    <definedName name="Diesel_Heavy_Trucks_CH4_N2O">'Emission Factors'!$C$163:$E$164</definedName>
    <definedName name="Diesel_Lt_Trucks_CH4_N2O">'Emission Factors'!$C$160:$E$162</definedName>
    <definedName name="Diesel_pass_CH4_N2O">'Emission Factors'!$C$157:$E$159</definedName>
    <definedName name="Diesel_Present_Heavy_Duty_CH4">'Emission Factors'!$D$163</definedName>
    <definedName name="Diesel_Present_Heavy_Duty_N2O">'Emission Factors'!$E$163</definedName>
    <definedName name="Diesel_Present_Lt_Duty_CH4">'Emission Factors'!$D$162</definedName>
    <definedName name="Diesel_Present_Lt_Duty_N2O">'Emission Factors'!$E$162</definedName>
    <definedName name="Dimensional_Lumber">DropDown!$AR$2:$AR$4</definedName>
    <definedName name="Drywall">DropDown!$CC$2</definedName>
    <definedName name="eGRID_em_Fctrs">'Emission Factors'!$A$319:$G$345</definedName>
    <definedName name="eGRID_Subregions">DropDown!$K$2:$K$28</definedName>
    <definedName name="Electronic_Peripherals">DropDown!$BT$2:$BT$3</definedName>
    <definedName name="Em_by_ProdTransType" localSheetId="13">Waste!$A$89</definedName>
    <definedName name="Em_by_ProdTransType">'Upstream Trans and Dist'!$A$101</definedName>
    <definedName name="Ethanol_Buses_CH4">'Emission Factors'!$D$188</definedName>
    <definedName name="Ethanol_Buses_N2O">'Emission Factors'!$E$188</definedName>
    <definedName name="Ethanol_Heavy_Duty_CH4">'Emission Factors'!$D$187</definedName>
    <definedName name="Ethanol_Heavy_Duty_N2O">'Emission Factors'!$E$187</definedName>
    <definedName name="Ethanol_Lt_Duty_CH4">'Emission Factors'!$D$170</definedName>
    <definedName name="Ethanol_Lt_Duty_N2O">'Emission Factors'!$E$170</definedName>
    <definedName name="Fiberglass_Insulation">DropDown!$CD$2:$CD$3</definedName>
    <definedName name="FireSupp_Equip">DropDown!$H$2:$H$3</definedName>
    <definedName name="FireSupp_Gas">DropDown!$I$2:$I$9</definedName>
    <definedName name="Fixed_FireLeakRate">'Emission Factors'!$B$375</definedName>
    <definedName name="Flat_panel_Displays">DropDown!$BR$2:$BR$3</definedName>
    <definedName name="Fly_Ash">DropDown!$BY$2:$BY$3</definedName>
    <definedName name="Food_Waste">DropDown!$BL$2:$BL$4</definedName>
    <definedName name="Food_Waste_meat_only">DropDown!$AU$2:$AU$5</definedName>
    <definedName name="Food_Waste_non_meat">DropDown!$AT$2:$AT$6</definedName>
    <definedName name="FoodSales" localSheetId="19">'Help - Data Management'!$B$117</definedName>
    <definedName name="FoodService" localSheetId="19">'Help - Data Management'!$B$118</definedName>
    <definedName name="Fruits_and_Vegetables">DropDown!$AZ$2:$AZ$6</definedName>
    <definedName name="Fuel_Type">DropDown!$R$2:$R$28</definedName>
    <definedName name="Gas">DropDown!$T$2:$T$4</definedName>
    <definedName name="Gas_Heavy_Duty_CH4_N2O">'Emission Factors'!$B$120:$D$151</definedName>
    <definedName name="Gas_Lt_Duty_Trucks_CH4_N2O">'Emission Factors'!$B$89:$D$119</definedName>
    <definedName name="Gas_Motorcycle_CH4_N2O">'Emission Factors'!$B$152:$D$154</definedName>
    <definedName name="Gas_Pass_Car_CH4_N2O">'Emission Factors'!$B$58:$D$88</definedName>
    <definedName name="Gas_Present_Heavy_Duty_CH4">'Emission Factors'!$C$151</definedName>
    <definedName name="Gas_Present_Heavy_Duty_N2O">'Emission Factors'!$D$151</definedName>
    <definedName name="Gas_Present_Lt_Duty_CH4">'Emission Factors'!$C$119</definedName>
    <definedName name="Gas_Present_Lt_Duty_N2O">'Emission Factors'!$D$119</definedName>
    <definedName name="get_gasgperkm">[1]Reference!$E$196:$I$259</definedName>
    <definedName name="GHGs">DropDown!$J$2:$J$56</definedName>
    <definedName name="Glass">DropDown!$AC$2:$AC$4</definedName>
    <definedName name="Grains">DropDown!$AX$2:$AX$6</definedName>
    <definedName name="Grass">DropDown!$BC$2:$BC$5</definedName>
    <definedName name="GWP">'Emission Factors'!$A$237:$B$309</definedName>
    <definedName name="Hard_copy_Devices">DropDown!$BU$2:$BU$3</definedName>
    <definedName name="HDPE">DropDown!$AD$2:$AD$4</definedName>
    <definedName name="HealthIn" localSheetId="19">'Help - Data Management'!$B$119</definedName>
    <definedName name="HealthOut" localSheetId="19">'Help - Data Management'!$B$120</definedName>
    <definedName name="Help_Navigation">DropDown!$B$2:$B$14</definedName>
    <definedName name="Help_sheet">Introduction!$D$14</definedName>
    <definedName name="kg_per_lb">'Unit Conversions'!$C$9</definedName>
    <definedName name="Landfill_Gas_scf_per_mmBtu">'Heat Content'!$D$40</definedName>
    <definedName name="Landfill_Gas_scf_per_therm">'Heat Content'!$D$41</definedName>
    <definedName name="LDPE">DropDown!$AE$2:$AE$3</definedName>
    <definedName name="Leaves">DropDown!$BD$2:$BD$5</definedName>
    <definedName name="Liquid">DropDown!$U$2:$U$3</definedName>
    <definedName name="LLDPE">DropDown!$AG$2:$AG$3</definedName>
    <definedName name="LNG_Heavy_Duty_CH4">'Emission Factors'!$D$169</definedName>
    <definedName name="LNG_Heavy_Duty_N2O">'Emission Factors'!$E$169</definedName>
    <definedName name="Lodging" localSheetId="19">'Help - Data Management'!$B$121</definedName>
    <definedName name="LPG_Heavy_Duty_CH4">'Emission Factors'!$D$168</definedName>
    <definedName name="LPG_Heavy_Duty_N2O">'Emission Factors'!$E$168</definedName>
    <definedName name="LPG_Lt_Duty_CH4">'Emission Factors'!$D$167</definedName>
    <definedName name="LPG_Lt_Duty_N2O">'Emission Factors'!$E$167</definedName>
    <definedName name="Magazines_and_Third_class_mail">DropDown!$AM$2:$AM$4</definedName>
    <definedName name="Mass_Dropdown">DropDown!$W$2:$W$6</definedName>
    <definedName name="Medium_density_Fiberboard">DropDown!$AS$2:$AS$4</definedName>
    <definedName name="Mixed_Electronics">DropDown!$BV$2:$BV$3</definedName>
    <definedName name="Mixed_Metals">DropDown!$BI$2:$BI$4</definedName>
    <definedName name="Mixed_MSW_municipal_solid_waste">DropDown!$BN$2:$BN$3</definedName>
    <definedName name="Mixed_Organics">DropDown!$BM$2:$BM$4</definedName>
    <definedName name="Mixed_Paper_general">DropDown!$BF$2:$BF$4</definedName>
    <definedName name="Mixed_Paper_primarily_from_offices">DropDown!$BH$2:$BH$4</definedName>
    <definedName name="Mixed_Paper_primarily_residential">DropDown!$BG$2:$BG$4</definedName>
    <definedName name="Mixed_Plastics">DropDown!$BJ$2:$BJ$4</definedName>
    <definedName name="Mixed_Recyclables">DropDown!$BK$2:$BK$4</definedName>
    <definedName name="Mobile_Avgas_CO2fctr">'Emission Factors'!$B$47</definedName>
    <definedName name="Mobile_Biodiesel_CO2fctr">'Emission Factors'!$B$51</definedName>
    <definedName name="Mobile_CNG_CO2fctr">'Emission Factors'!$B$53</definedName>
    <definedName name="Mobile_diesel_CO2fctr">'Emission Factors'!$B$45</definedName>
    <definedName name="Mobile_Ethanol_CO2fctr">'Emission Factors'!$B$50</definedName>
    <definedName name="Mobile_FuelOil_CO2fctr">'Emission Factors'!$B$46</definedName>
    <definedName name="Mobile_gas_CO2fctr">'Emission Factors'!$B$44</definedName>
    <definedName name="Mobile_Jet_Fuel_CO2fctr">'Emission Factors'!$B$48</definedName>
    <definedName name="Mobile_LNG_CO2fctr">'Emission Factors'!$B$52</definedName>
    <definedName name="Mobile_LPG_CO2fctr">'Emission Factors'!$B$49</definedName>
    <definedName name="N2O_GWP">'Emission Factors'!$B$239</definedName>
    <definedName name="Natural_Gas_scf_per_mmBtu">'Heat Content'!$D$7</definedName>
    <definedName name="Natural_Gas_scf_per_therm">'Heat Content'!$D$9</definedName>
    <definedName name="Newspaper">DropDown!$AN$2:$AN$4</definedName>
    <definedName name="Non_Highway_Vehicles_Ch4_N2O">'Emission Factors'!$A$196:$D$202</definedName>
    <definedName name="NonRoad">DropDown!$E$2:$E$41</definedName>
    <definedName name="Office" localSheetId="19">'Help - Data Management'!$B$124</definedName>
    <definedName name="Office_Paper">DropDown!$AO$2:$AO$4</definedName>
    <definedName name="OnRoad">DropDown!$D$2:$D$34</definedName>
    <definedName name="Other" localSheetId="19">'Help - Data Management'!$B$130</definedName>
    <definedName name="PET">DropDown!$AF$2:$AF$4</definedName>
    <definedName name="Phonebooks">DropDown!$AP$2:$AP$4</definedName>
    <definedName name="PLA">DropDown!$AK$2:$AK$4</definedName>
    <definedName name="Portable_Electronic_Devices">DropDown!$BQ$2:$BQ$3</definedName>
    <definedName name="Portable_FireLeakRate">'Emission Factors'!$B$376</definedName>
    <definedName name="Poultry">DropDown!$AW$2:$AW$6</definedName>
    <definedName name="PP">DropDown!$AH$2:$AH$3</definedName>
    <definedName name="Prod_Trans_TonMiles">DropDown!$Q$2:$Q$5</definedName>
    <definedName name="Prod_Trans_VehicleMiles">DropDown!$P$2:$P$4</definedName>
    <definedName name="Prod_TransTM_fctrs">'Emission Factors'!$A$368:$D$371</definedName>
    <definedName name="Prod_TransVM_Fctrs">'Emission Factors'!$A$365:$D$367</definedName>
    <definedName name="Propane_Gas_scf_per_mmBtu">'Heat Content'!$D$38</definedName>
    <definedName name="Propane_Gas_scf_per_therm">'Heat Content'!$D$39</definedName>
    <definedName name="PS">DropDown!$AI$2:$AI$3</definedName>
    <definedName name="PublicAssembly" localSheetId="19">'Help - Data Management'!$B$125</definedName>
    <definedName name="PublicOrder" localSheetId="19">'Help - Data Management'!$B$126</definedName>
    <definedName name="PVC">DropDown!$AJ$2:$AJ$3</definedName>
    <definedName name="Refrig">DropDown!$G$2:$G$48</definedName>
    <definedName name="Refrig_Equip">DropDown!$F$2:$F$10</definedName>
    <definedName name="RetailOther" localSheetId="19">'Help - Data Management'!$B$122</definedName>
    <definedName name="RetailStripMalls" localSheetId="19">'Help - Data Management'!$B$123</definedName>
    <definedName name="Service" localSheetId="19">'Help - Data Management'!$B$128</definedName>
    <definedName name="Solid">DropDown!$V$2:$V$3</definedName>
    <definedName name="Stationary_Fuel_Fctrs_mmBtu">'Emission Factors'!$A$12:$D$39</definedName>
    <definedName name="Stationary_Fuel_Fctrs_unit">'Emission Factors'!$A$12:$G$39</definedName>
    <definedName name="Steam_Fuel_Type">DropDown!$L$2:$L$14</definedName>
    <definedName name="Steel_Cans">DropDown!$AA$2:$AA$4</definedName>
    <definedName name="Tab_navigation">DropDown!$A$2:$A$13</definedName>
    <definedName name="Textbooks">DropDown!$AQ$2:$AQ$4</definedName>
    <definedName name="Tires">DropDown!$BZ$2:$BZ$4</definedName>
    <definedName name="Vacant" localSheetId="19">'Help - Data Management'!$B$131</definedName>
    <definedName name="Vinyl_Flooring">DropDown!$CE$2:$CE$3</definedName>
    <definedName name="Warehouse" localSheetId="19">'Help - Data Management'!$B$129</definedName>
    <definedName name="Wood_Flooring">DropDown!$CF$2:$CF$3</definedName>
    <definedName name="Worship" localSheetId="19">'Help - Data Management'!$B$127</definedName>
    <definedName name="Yard_Trimmings">DropDown!$BB$2:$BB$5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18" i="50486" l="1"/>
  <c r="F218" i="50486"/>
  <c r="E218" i="50486"/>
  <c r="G217" i="50486"/>
  <c r="F217" i="50486"/>
  <c r="E217" i="50486"/>
  <c r="G216" i="50486"/>
  <c r="F216" i="50486"/>
  <c r="E216" i="50486"/>
  <c r="G215" i="50486"/>
  <c r="F215" i="50486"/>
  <c r="E215" i="50486"/>
  <c r="G214" i="50486"/>
  <c r="F214" i="50486"/>
  <c r="E214" i="50486"/>
  <c r="G213" i="50486"/>
  <c r="F213" i="50486"/>
  <c r="E213" i="50486"/>
  <c r="G212" i="50486"/>
  <c r="F212" i="50486"/>
  <c r="E212" i="50486"/>
  <c r="G211" i="50486"/>
  <c r="F211" i="50486"/>
  <c r="E211" i="50486"/>
  <c r="Y313" i="50481"/>
  <c r="X313" i="50481"/>
  <c r="V313" i="50481"/>
  <c r="U313" i="50481"/>
  <c r="T313" i="50481"/>
  <c r="S313" i="50481"/>
  <c r="R313" i="50481"/>
  <c r="Q313" i="50481"/>
  <c r="D313" i="50481"/>
  <c r="W313" i="50481" s="1"/>
  <c r="H313" i="50481" s="1"/>
  <c r="Y312" i="50481"/>
  <c r="X312" i="50481"/>
  <c r="V312" i="50481"/>
  <c r="U312" i="50481"/>
  <c r="T312" i="50481"/>
  <c r="S312" i="50481"/>
  <c r="R312" i="50481"/>
  <c r="Q312" i="50481"/>
  <c r="D312" i="50481"/>
  <c r="W312" i="50481" s="1"/>
  <c r="Y311" i="50481"/>
  <c r="X311" i="50481"/>
  <c r="V311" i="50481"/>
  <c r="U311" i="50481"/>
  <c r="T311" i="50481"/>
  <c r="S311" i="50481"/>
  <c r="R311" i="50481"/>
  <c r="Q311" i="50481"/>
  <c r="D311" i="50481"/>
  <c r="W311" i="50481" s="1"/>
  <c r="Y310" i="50481"/>
  <c r="X310" i="50481"/>
  <c r="W310" i="50481"/>
  <c r="V310" i="50481"/>
  <c r="U310" i="50481"/>
  <c r="T310" i="50481"/>
  <c r="S310" i="50481"/>
  <c r="R310" i="50481"/>
  <c r="Q310" i="50481"/>
  <c r="D310" i="50481"/>
  <c r="H310" i="50481" s="1"/>
  <c r="Y309" i="50481"/>
  <c r="X309" i="50481"/>
  <c r="W309" i="50481"/>
  <c r="V309" i="50481"/>
  <c r="U309" i="50481"/>
  <c r="T309" i="50481"/>
  <c r="S309" i="50481"/>
  <c r="R309" i="50481"/>
  <c r="Q309" i="50481"/>
  <c r="D309" i="50481"/>
  <c r="H309" i="50481" s="1"/>
  <c r="Y308" i="50481"/>
  <c r="X308" i="50481"/>
  <c r="W308" i="50481"/>
  <c r="V308" i="50481"/>
  <c r="U308" i="50481"/>
  <c r="T308" i="50481"/>
  <c r="S308" i="50481"/>
  <c r="R308" i="50481"/>
  <c r="Q308" i="50481"/>
  <c r="D308" i="50481"/>
  <c r="H308" i="50481" s="1"/>
  <c r="Y307" i="50481"/>
  <c r="X307" i="50481"/>
  <c r="W307" i="50481"/>
  <c r="V307" i="50481"/>
  <c r="U307" i="50481"/>
  <c r="T307" i="50481"/>
  <c r="S307" i="50481"/>
  <c r="R307" i="50481"/>
  <c r="Q307" i="50481"/>
  <c r="D307" i="50481"/>
  <c r="H307" i="50481" s="1"/>
  <c r="Y306" i="50481"/>
  <c r="X306" i="50481"/>
  <c r="W306" i="50481"/>
  <c r="V306" i="50481"/>
  <c r="U306" i="50481"/>
  <c r="T306" i="50481"/>
  <c r="S306" i="50481"/>
  <c r="R306" i="50481"/>
  <c r="Q306" i="50481"/>
  <c r="D306" i="50481"/>
  <c r="H306" i="50481" s="1"/>
  <c r="Y305" i="50481"/>
  <c r="X305" i="50481"/>
  <c r="W305" i="50481"/>
  <c r="V305" i="50481"/>
  <c r="U305" i="50481"/>
  <c r="T305" i="50481"/>
  <c r="S305" i="50481"/>
  <c r="R305" i="50481"/>
  <c r="Q305" i="50481"/>
  <c r="D305" i="50481"/>
  <c r="H305" i="50481" s="1"/>
  <c r="Y304" i="50481"/>
  <c r="X304" i="50481"/>
  <c r="W304" i="50481"/>
  <c r="V304" i="50481"/>
  <c r="U304" i="50481"/>
  <c r="T304" i="50481"/>
  <c r="S304" i="50481"/>
  <c r="R304" i="50481"/>
  <c r="Q304" i="50481"/>
  <c r="D304" i="50481"/>
  <c r="H304" i="50481" s="1"/>
  <c r="Y303" i="50481"/>
  <c r="X303" i="50481"/>
  <c r="W303" i="50481"/>
  <c r="V303" i="50481"/>
  <c r="U303" i="50481"/>
  <c r="T303" i="50481"/>
  <c r="S303" i="50481"/>
  <c r="R303" i="50481"/>
  <c r="Q303" i="50481"/>
  <c r="H303" i="50481"/>
  <c r="D303" i="50481"/>
  <c r="Y302" i="50481"/>
  <c r="X302" i="50481"/>
  <c r="V302" i="50481"/>
  <c r="U302" i="50481"/>
  <c r="T302" i="50481"/>
  <c r="S302" i="50481"/>
  <c r="R302" i="50481"/>
  <c r="Q302" i="50481"/>
  <c r="D302" i="50481"/>
  <c r="W302" i="50481" s="1"/>
  <c r="Y301" i="50481"/>
  <c r="X301" i="50481"/>
  <c r="V301" i="50481"/>
  <c r="U301" i="50481"/>
  <c r="T301" i="50481"/>
  <c r="S301" i="50481"/>
  <c r="R301" i="50481"/>
  <c r="Q301" i="50481"/>
  <c r="D301" i="50481"/>
  <c r="W301" i="50481" s="1"/>
  <c r="H301" i="50481" s="1"/>
  <c r="Y300" i="50481"/>
  <c r="X300" i="50481"/>
  <c r="V300" i="50481"/>
  <c r="U300" i="50481"/>
  <c r="T300" i="50481"/>
  <c r="S300" i="50481"/>
  <c r="R300" i="50481"/>
  <c r="Q300" i="50481"/>
  <c r="D300" i="50481"/>
  <c r="W300" i="50481" s="1"/>
  <c r="Y299" i="50481"/>
  <c r="X299" i="50481"/>
  <c r="V299" i="50481"/>
  <c r="U299" i="50481"/>
  <c r="T299" i="50481"/>
  <c r="S299" i="50481"/>
  <c r="R299" i="50481"/>
  <c r="Q299" i="50481"/>
  <c r="D299" i="50481"/>
  <c r="W299" i="50481" s="1"/>
  <c r="Y298" i="50481"/>
  <c r="X298" i="50481"/>
  <c r="W298" i="50481"/>
  <c r="V298" i="50481"/>
  <c r="U298" i="50481"/>
  <c r="T298" i="50481"/>
  <c r="S298" i="50481"/>
  <c r="R298" i="50481"/>
  <c r="Q298" i="50481"/>
  <c r="D298" i="50481"/>
  <c r="H298" i="50481" s="1"/>
  <c r="Y297" i="50481"/>
  <c r="X297" i="50481"/>
  <c r="W297" i="50481"/>
  <c r="V297" i="50481"/>
  <c r="U297" i="50481"/>
  <c r="T297" i="50481"/>
  <c r="S297" i="50481"/>
  <c r="R297" i="50481"/>
  <c r="Q297" i="50481"/>
  <c r="D297" i="50481"/>
  <c r="H297" i="50481" s="1"/>
  <c r="Y296" i="50481"/>
  <c r="X296" i="50481"/>
  <c r="W296" i="50481"/>
  <c r="V296" i="50481"/>
  <c r="U296" i="50481"/>
  <c r="T296" i="50481"/>
  <c r="S296" i="50481"/>
  <c r="R296" i="50481"/>
  <c r="Q296" i="50481"/>
  <c r="D296" i="50481"/>
  <c r="H296" i="50481" s="1"/>
  <c r="Y295" i="50481"/>
  <c r="X295" i="50481"/>
  <c r="W295" i="50481"/>
  <c r="V295" i="50481"/>
  <c r="U295" i="50481"/>
  <c r="T295" i="50481"/>
  <c r="S295" i="50481"/>
  <c r="R295" i="50481"/>
  <c r="Q295" i="50481"/>
  <c r="D295" i="50481"/>
  <c r="H295" i="50481" s="1"/>
  <c r="Y294" i="50481"/>
  <c r="X294" i="50481"/>
  <c r="W294" i="50481"/>
  <c r="V294" i="50481"/>
  <c r="U294" i="50481"/>
  <c r="T294" i="50481"/>
  <c r="S294" i="50481"/>
  <c r="R294" i="50481"/>
  <c r="Q294" i="50481"/>
  <c r="D294" i="50481"/>
  <c r="H294" i="50481" s="1"/>
  <c r="Y293" i="50481"/>
  <c r="X293" i="50481"/>
  <c r="W293" i="50481"/>
  <c r="V293" i="50481"/>
  <c r="U293" i="50481"/>
  <c r="T293" i="50481"/>
  <c r="S293" i="50481"/>
  <c r="R293" i="50481"/>
  <c r="Q293" i="50481"/>
  <c r="D293" i="50481"/>
  <c r="H293" i="50481" s="1"/>
  <c r="Y292" i="50481"/>
  <c r="X292" i="50481"/>
  <c r="W292" i="50481"/>
  <c r="V292" i="50481"/>
  <c r="U292" i="50481"/>
  <c r="T292" i="50481"/>
  <c r="S292" i="50481"/>
  <c r="R292" i="50481"/>
  <c r="Q292" i="50481"/>
  <c r="D292" i="50481"/>
  <c r="H292" i="50481" s="1"/>
  <c r="Y291" i="50481"/>
  <c r="X291" i="50481"/>
  <c r="W291" i="50481"/>
  <c r="V291" i="50481"/>
  <c r="U291" i="50481"/>
  <c r="T291" i="50481"/>
  <c r="S291" i="50481"/>
  <c r="R291" i="50481"/>
  <c r="Q291" i="50481"/>
  <c r="H291" i="50481"/>
  <c r="D291" i="50481"/>
  <c r="Y290" i="50481"/>
  <c r="X290" i="50481"/>
  <c r="V290" i="50481"/>
  <c r="U290" i="50481"/>
  <c r="T290" i="50481"/>
  <c r="S290" i="50481"/>
  <c r="R290" i="50481"/>
  <c r="Q290" i="50481"/>
  <c r="D290" i="50481"/>
  <c r="W290" i="50481" s="1"/>
  <c r="Y289" i="50481"/>
  <c r="X289" i="50481"/>
  <c r="V289" i="50481"/>
  <c r="U289" i="50481"/>
  <c r="T289" i="50481"/>
  <c r="S289" i="50481"/>
  <c r="R289" i="50481"/>
  <c r="Q289" i="50481"/>
  <c r="D289" i="50481"/>
  <c r="W289" i="50481" s="1"/>
  <c r="H289" i="50481" s="1"/>
  <c r="Y288" i="50481"/>
  <c r="X288" i="50481"/>
  <c r="V288" i="50481"/>
  <c r="U288" i="50481"/>
  <c r="T288" i="50481"/>
  <c r="S288" i="50481"/>
  <c r="R288" i="50481"/>
  <c r="Q288" i="50481"/>
  <c r="D288" i="50481"/>
  <c r="W288" i="50481" s="1"/>
  <c r="Y287" i="50481"/>
  <c r="X287" i="50481"/>
  <c r="V287" i="50481"/>
  <c r="U287" i="50481"/>
  <c r="T287" i="50481"/>
  <c r="S287" i="50481"/>
  <c r="R287" i="50481"/>
  <c r="Q287" i="50481"/>
  <c r="D287" i="50481"/>
  <c r="W287" i="50481" s="1"/>
  <c r="Y286" i="50481"/>
  <c r="X286" i="50481"/>
  <c r="W286" i="50481"/>
  <c r="V286" i="50481"/>
  <c r="U286" i="50481"/>
  <c r="T286" i="50481"/>
  <c r="S286" i="50481"/>
  <c r="R286" i="50481"/>
  <c r="Q286" i="50481"/>
  <c r="D286" i="50481"/>
  <c r="H286" i="50481" s="1"/>
  <c r="Y285" i="50481"/>
  <c r="X285" i="50481"/>
  <c r="W285" i="50481"/>
  <c r="V285" i="50481"/>
  <c r="U285" i="50481"/>
  <c r="T285" i="50481"/>
  <c r="S285" i="50481"/>
  <c r="R285" i="50481"/>
  <c r="Q285" i="50481"/>
  <c r="D285" i="50481"/>
  <c r="H285" i="50481" s="1"/>
  <c r="Y284" i="50481"/>
  <c r="X284" i="50481"/>
  <c r="W284" i="50481"/>
  <c r="V284" i="50481"/>
  <c r="U284" i="50481"/>
  <c r="T284" i="50481"/>
  <c r="S284" i="50481"/>
  <c r="R284" i="50481"/>
  <c r="Q284" i="50481"/>
  <c r="D284" i="50481"/>
  <c r="H284" i="50481" s="1"/>
  <c r="Y283" i="50481"/>
  <c r="X283" i="50481"/>
  <c r="W283" i="50481"/>
  <c r="V283" i="50481"/>
  <c r="U283" i="50481"/>
  <c r="T283" i="50481"/>
  <c r="S283" i="50481"/>
  <c r="R283" i="50481"/>
  <c r="Q283" i="50481"/>
  <c r="D283" i="50481"/>
  <c r="H283" i="50481" s="1"/>
  <c r="Y282" i="50481"/>
  <c r="X282" i="50481"/>
  <c r="W282" i="50481"/>
  <c r="V282" i="50481"/>
  <c r="U282" i="50481"/>
  <c r="T282" i="50481"/>
  <c r="S282" i="50481"/>
  <c r="R282" i="50481"/>
  <c r="Q282" i="50481"/>
  <c r="D282" i="50481"/>
  <c r="H282" i="50481" s="1"/>
  <c r="Y281" i="50481"/>
  <c r="X281" i="50481"/>
  <c r="V281" i="50481"/>
  <c r="U281" i="50481"/>
  <c r="T281" i="50481"/>
  <c r="S281" i="50481"/>
  <c r="R281" i="50481"/>
  <c r="Q281" i="50481"/>
  <c r="D281" i="50481"/>
  <c r="Y280" i="50481"/>
  <c r="X280" i="50481"/>
  <c r="W280" i="50481"/>
  <c r="V280" i="50481"/>
  <c r="U280" i="50481"/>
  <c r="T280" i="50481"/>
  <c r="S280" i="50481"/>
  <c r="R280" i="50481"/>
  <c r="Q280" i="50481"/>
  <c r="D280" i="50481"/>
  <c r="H280" i="50481" s="1"/>
  <c r="Y279" i="50481"/>
  <c r="X279" i="50481"/>
  <c r="W279" i="50481"/>
  <c r="V279" i="50481"/>
  <c r="U279" i="50481"/>
  <c r="T279" i="50481"/>
  <c r="S279" i="50481"/>
  <c r="R279" i="50481"/>
  <c r="Q279" i="50481"/>
  <c r="H279" i="50481"/>
  <c r="D279" i="50481"/>
  <c r="Y278" i="50481"/>
  <c r="X278" i="50481"/>
  <c r="V278" i="50481"/>
  <c r="U278" i="50481"/>
  <c r="T278" i="50481"/>
  <c r="S278" i="50481"/>
  <c r="R278" i="50481"/>
  <c r="Q278" i="50481"/>
  <c r="D278" i="50481"/>
  <c r="W278" i="50481" s="1"/>
  <c r="Y277" i="50481"/>
  <c r="X277" i="50481"/>
  <c r="V277" i="50481"/>
  <c r="U277" i="50481"/>
  <c r="T277" i="50481"/>
  <c r="S277" i="50481"/>
  <c r="R277" i="50481"/>
  <c r="Q277" i="50481"/>
  <c r="D277" i="50481"/>
  <c r="W277" i="50481" s="1"/>
  <c r="H277" i="50481" s="1"/>
  <c r="Y276" i="50481"/>
  <c r="X276" i="50481"/>
  <c r="V276" i="50481"/>
  <c r="U276" i="50481"/>
  <c r="T276" i="50481"/>
  <c r="S276" i="50481"/>
  <c r="R276" i="50481"/>
  <c r="Q276" i="50481"/>
  <c r="D276" i="50481"/>
  <c r="W276" i="50481" s="1"/>
  <c r="Y275" i="50481"/>
  <c r="X275" i="50481"/>
  <c r="V275" i="50481"/>
  <c r="U275" i="50481"/>
  <c r="T275" i="50481"/>
  <c r="S275" i="50481"/>
  <c r="R275" i="50481"/>
  <c r="Q275" i="50481"/>
  <c r="D275" i="50481"/>
  <c r="W275" i="50481" s="1"/>
  <c r="Y274" i="50481"/>
  <c r="X274" i="50481"/>
  <c r="W274" i="50481"/>
  <c r="V274" i="50481"/>
  <c r="U274" i="50481"/>
  <c r="T274" i="50481"/>
  <c r="S274" i="50481"/>
  <c r="R274" i="50481"/>
  <c r="Q274" i="50481"/>
  <c r="D274" i="50481"/>
  <c r="H274" i="50481" s="1"/>
  <c r="Y273" i="50481"/>
  <c r="X273" i="50481"/>
  <c r="W273" i="50481"/>
  <c r="V273" i="50481"/>
  <c r="U273" i="50481"/>
  <c r="T273" i="50481"/>
  <c r="S273" i="50481"/>
  <c r="R273" i="50481"/>
  <c r="Q273" i="50481"/>
  <c r="D273" i="50481"/>
  <c r="H273" i="50481" s="1"/>
  <c r="Y272" i="50481"/>
  <c r="X272" i="50481"/>
  <c r="W272" i="50481"/>
  <c r="V272" i="50481"/>
  <c r="U272" i="50481"/>
  <c r="T272" i="50481"/>
  <c r="S272" i="50481"/>
  <c r="R272" i="50481"/>
  <c r="Q272" i="50481"/>
  <c r="D272" i="50481"/>
  <c r="H272" i="50481" s="1"/>
  <c r="Y271" i="50481"/>
  <c r="X271" i="50481"/>
  <c r="W271" i="50481"/>
  <c r="V271" i="50481"/>
  <c r="U271" i="50481"/>
  <c r="T271" i="50481"/>
  <c r="S271" i="50481"/>
  <c r="R271" i="50481"/>
  <c r="Q271" i="50481"/>
  <c r="D271" i="50481"/>
  <c r="H271" i="50481" s="1"/>
  <c r="Y270" i="50481"/>
  <c r="X270" i="50481"/>
  <c r="W270" i="50481"/>
  <c r="V270" i="50481"/>
  <c r="U270" i="50481"/>
  <c r="T270" i="50481"/>
  <c r="S270" i="50481"/>
  <c r="R270" i="50481"/>
  <c r="Q270" i="50481"/>
  <c r="D270" i="50481"/>
  <c r="H270" i="50481" s="1"/>
  <c r="Y269" i="50481"/>
  <c r="X269" i="50481"/>
  <c r="V269" i="50481"/>
  <c r="U269" i="50481"/>
  <c r="T269" i="50481"/>
  <c r="S269" i="50481"/>
  <c r="R269" i="50481"/>
  <c r="Q269" i="50481"/>
  <c r="D269" i="50481"/>
  <c r="Y268" i="50481"/>
  <c r="X268" i="50481"/>
  <c r="W268" i="50481"/>
  <c r="V268" i="50481"/>
  <c r="U268" i="50481"/>
  <c r="T268" i="50481"/>
  <c r="S268" i="50481"/>
  <c r="R268" i="50481"/>
  <c r="Q268" i="50481"/>
  <c r="D268" i="50481"/>
  <c r="H268" i="50481" s="1"/>
  <c r="Y267" i="50481"/>
  <c r="X267" i="50481"/>
  <c r="W267" i="50481"/>
  <c r="V267" i="50481"/>
  <c r="U267" i="50481"/>
  <c r="T267" i="50481"/>
  <c r="S267" i="50481"/>
  <c r="R267" i="50481"/>
  <c r="Q267" i="50481"/>
  <c r="H267" i="50481"/>
  <c r="D267" i="50481"/>
  <c r="Y266" i="50481"/>
  <c r="X266" i="50481"/>
  <c r="V266" i="50481"/>
  <c r="U266" i="50481"/>
  <c r="T266" i="50481"/>
  <c r="S266" i="50481"/>
  <c r="R266" i="50481"/>
  <c r="Q266" i="50481"/>
  <c r="D266" i="50481"/>
  <c r="W266" i="50481" s="1"/>
  <c r="Y265" i="50481"/>
  <c r="X265" i="50481"/>
  <c r="V265" i="50481"/>
  <c r="U265" i="50481"/>
  <c r="T265" i="50481"/>
  <c r="S265" i="50481"/>
  <c r="R265" i="50481"/>
  <c r="Q265" i="50481"/>
  <c r="D265" i="50481"/>
  <c r="W265" i="50481" s="1"/>
  <c r="H265" i="50481" s="1"/>
  <c r="Y264" i="50481"/>
  <c r="X264" i="50481"/>
  <c r="V264" i="50481"/>
  <c r="U264" i="50481"/>
  <c r="T264" i="50481"/>
  <c r="S264" i="50481"/>
  <c r="R264" i="50481"/>
  <c r="Q264" i="50481"/>
  <c r="D264" i="50481"/>
  <c r="W264" i="50481" s="1"/>
  <c r="Y263" i="50481"/>
  <c r="X263" i="50481"/>
  <c r="V263" i="50481"/>
  <c r="U263" i="50481"/>
  <c r="T263" i="50481"/>
  <c r="S263" i="50481"/>
  <c r="R263" i="50481"/>
  <c r="Q263" i="50481"/>
  <c r="D263" i="50481"/>
  <c r="W263" i="50481" s="1"/>
  <c r="Y262" i="50481"/>
  <c r="X262" i="50481"/>
  <c r="W262" i="50481"/>
  <c r="V262" i="50481"/>
  <c r="U262" i="50481"/>
  <c r="T262" i="50481"/>
  <c r="S262" i="50481"/>
  <c r="R262" i="50481"/>
  <c r="Q262" i="50481"/>
  <c r="D262" i="50481"/>
  <c r="H262" i="50481" s="1"/>
  <c r="Y261" i="50481"/>
  <c r="X261" i="50481"/>
  <c r="W261" i="50481"/>
  <c r="V261" i="50481"/>
  <c r="U261" i="50481"/>
  <c r="T261" i="50481"/>
  <c r="S261" i="50481"/>
  <c r="R261" i="50481"/>
  <c r="Q261" i="50481"/>
  <c r="D261" i="50481"/>
  <c r="H261" i="50481" s="1"/>
  <c r="Y260" i="50481"/>
  <c r="X260" i="50481"/>
  <c r="W260" i="50481"/>
  <c r="V260" i="50481"/>
  <c r="U260" i="50481"/>
  <c r="T260" i="50481"/>
  <c r="S260" i="50481"/>
  <c r="R260" i="50481"/>
  <c r="Q260" i="50481"/>
  <c r="D260" i="50481"/>
  <c r="H260" i="50481" s="1"/>
  <c r="Y259" i="50481"/>
  <c r="X259" i="50481"/>
  <c r="W259" i="50481"/>
  <c r="V259" i="50481"/>
  <c r="U259" i="50481"/>
  <c r="T259" i="50481"/>
  <c r="S259" i="50481"/>
  <c r="R259" i="50481"/>
  <c r="Q259" i="50481"/>
  <c r="D259" i="50481"/>
  <c r="H259" i="50481" s="1"/>
  <c r="Y258" i="50481"/>
  <c r="X258" i="50481"/>
  <c r="W258" i="50481"/>
  <c r="V258" i="50481"/>
  <c r="U258" i="50481"/>
  <c r="T258" i="50481"/>
  <c r="S258" i="50481"/>
  <c r="R258" i="50481"/>
  <c r="Q258" i="50481"/>
  <c r="D258" i="50481"/>
  <c r="H258" i="50481" s="1"/>
  <c r="Y257" i="50481"/>
  <c r="X257" i="50481"/>
  <c r="V257" i="50481"/>
  <c r="U257" i="50481"/>
  <c r="T257" i="50481"/>
  <c r="S257" i="50481"/>
  <c r="R257" i="50481"/>
  <c r="Q257" i="50481"/>
  <c r="D257" i="50481"/>
  <c r="Y256" i="50481"/>
  <c r="X256" i="50481"/>
  <c r="W256" i="50481"/>
  <c r="V256" i="50481"/>
  <c r="U256" i="50481"/>
  <c r="T256" i="50481"/>
  <c r="S256" i="50481"/>
  <c r="R256" i="50481"/>
  <c r="Q256" i="50481"/>
  <c r="D256" i="50481"/>
  <c r="H256" i="50481" s="1"/>
  <c r="Y255" i="50481"/>
  <c r="X255" i="50481"/>
  <c r="W255" i="50481"/>
  <c r="V255" i="50481"/>
  <c r="U255" i="50481"/>
  <c r="T255" i="50481"/>
  <c r="S255" i="50481"/>
  <c r="R255" i="50481"/>
  <c r="Q255" i="50481"/>
  <c r="H255" i="50481"/>
  <c r="D255" i="50481"/>
  <c r="Y254" i="50481"/>
  <c r="X254" i="50481"/>
  <c r="V254" i="50481"/>
  <c r="U254" i="50481"/>
  <c r="T254" i="50481"/>
  <c r="S254" i="50481"/>
  <c r="R254" i="50481"/>
  <c r="Q254" i="50481"/>
  <c r="D254" i="50481"/>
  <c r="W254" i="50481" s="1"/>
  <c r="Y253" i="50481"/>
  <c r="X253" i="50481"/>
  <c r="V253" i="50481"/>
  <c r="U253" i="50481"/>
  <c r="T253" i="50481"/>
  <c r="S253" i="50481"/>
  <c r="R253" i="50481"/>
  <c r="Q253" i="50481"/>
  <c r="D253" i="50481"/>
  <c r="W253" i="50481" s="1"/>
  <c r="H253" i="50481" s="1"/>
  <c r="Y252" i="50481"/>
  <c r="X252" i="50481"/>
  <c r="V252" i="50481"/>
  <c r="U252" i="50481"/>
  <c r="T252" i="50481"/>
  <c r="S252" i="50481"/>
  <c r="R252" i="50481"/>
  <c r="Q252" i="50481"/>
  <c r="D252" i="50481"/>
  <c r="W252" i="50481" s="1"/>
  <c r="Y251" i="50481"/>
  <c r="X251" i="50481"/>
  <c r="V251" i="50481"/>
  <c r="U251" i="50481"/>
  <c r="T251" i="50481"/>
  <c r="S251" i="50481"/>
  <c r="R251" i="50481"/>
  <c r="Q251" i="50481"/>
  <c r="D251" i="50481"/>
  <c r="W251" i="50481" s="1"/>
  <c r="Y250" i="50481"/>
  <c r="X250" i="50481"/>
  <c r="W250" i="50481"/>
  <c r="V250" i="50481"/>
  <c r="U250" i="50481"/>
  <c r="T250" i="50481"/>
  <c r="S250" i="50481"/>
  <c r="R250" i="50481"/>
  <c r="Q250" i="50481"/>
  <c r="D250" i="50481"/>
  <c r="H250" i="50481" s="1"/>
  <c r="Y249" i="50481"/>
  <c r="X249" i="50481"/>
  <c r="W249" i="50481"/>
  <c r="V249" i="50481"/>
  <c r="U249" i="50481"/>
  <c r="T249" i="50481"/>
  <c r="S249" i="50481"/>
  <c r="R249" i="50481"/>
  <c r="Q249" i="50481"/>
  <c r="H249" i="50481" s="1"/>
  <c r="D249" i="50481"/>
  <c r="Y248" i="50481"/>
  <c r="X248" i="50481"/>
  <c r="W248" i="50481"/>
  <c r="V248" i="50481"/>
  <c r="U248" i="50481"/>
  <c r="T248" i="50481"/>
  <c r="S248" i="50481"/>
  <c r="R248" i="50481"/>
  <c r="Q248" i="50481"/>
  <c r="D248" i="50481"/>
  <c r="H248" i="50481" s="1"/>
  <c r="Y247" i="50481"/>
  <c r="X247" i="50481"/>
  <c r="W247" i="50481"/>
  <c r="V247" i="50481"/>
  <c r="U247" i="50481"/>
  <c r="T247" i="50481"/>
  <c r="S247" i="50481"/>
  <c r="R247" i="50481"/>
  <c r="Q247" i="50481"/>
  <c r="D247" i="50481"/>
  <c r="H247" i="50481" s="1"/>
  <c r="Y246" i="50481"/>
  <c r="X246" i="50481"/>
  <c r="W246" i="50481"/>
  <c r="V246" i="50481"/>
  <c r="U246" i="50481"/>
  <c r="T246" i="50481"/>
  <c r="S246" i="50481"/>
  <c r="R246" i="50481"/>
  <c r="Q246" i="50481"/>
  <c r="D246" i="50481"/>
  <c r="H246" i="50481" s="1"/>
  <c r="Y245" i="50481"/>
  <c r="X245" i="50481"/>
  <c r="V245" i="50481"/>
  <c r="U245" i="50481"/>
  <c r="T245" i="50481"/>
  <c r="S245" i="50481"/>
  <c r="R245" i="50481"/>
  <c r="Q245" i="50481"/>
  <c r="D245" i="50481"/>
  <c r="Y244" i="50481"/>
  <c r="X244" i="50481"/>
  <c r="W244" i="50481"/>
  <c r="V244" i="50481"/>
  <c r="U244" i="50481"/>
  <c r="T244" i="50481"/>
  <c r="S244" i="50481"/>
  <c r="R244" i="50481"/>
  <c r="Q244" i="50481"/>
  <c r="D244" i="50481"/>
  <c r="H244" i="50481" s="1"/>
  <c r="Y243" i="50481"/>
  <c r="X243" i="50481"/>
  <c r="W243" i="50481"/>
  <c r="V243" i="50481"/>
  <c r="U243" i="50481"/>
  <c r="T243" i="50481"/>
  <c r="S243" i="50481"/>
  <c r="R243" i="50481"/>
  <c r="Q243" i="50481"/>
  <c r="H243" i="50481"/>
  <c r="D243" i="50481"/>
  <c r="Y242" i="50481"/>
  <c r="X242" i="50481"/>
  <c r="V242" i="50481"/>
  <c r="U242" i="50481"/>
  <c r="T242" i="50481"/>
  <c r="S242" i="50481"/>
  <c r="R242" i="50481"/>
  <c r="Q242" i="50481"/>
  <c r="D242" i="50481"/>
  <c r="W242" i="50481" s="1"/>
  <c r="Y241" i="50481"/>
  <c r="X241" i="50481"/>
  <c r="V241" i="50481"/>
  <c r="U241" i="50481"/>
  <c r="T241" i="50481"/>
  <c r="S241" i="50481"/>
  <c r="R241" i="50481"/>
  <c r="Q241" i="50481"/>
  <c r="D241" i="50481"/>
  <c r="W241" i="50481" s="1"/>
  <c r="H241" i="50481" s="1"/>
  <c r="Y240" i="50481"/>
  <c r="X240" i="50481"/>
  <c r="V240" i="50481"/>
  <c r="U240" i="50481"/>
  <c r="T240" i="50481"/>
  <c r="S240" i="50481"/>
  <c r="R240" i="50481"/>
  <c r="Q240" i="50481"/>
  <c r="D240" i="50481"/>
  <c r="W240" i="50481" s="1"/>
  <c r="Y239" i="50481"/>
  <c r="X239" i="50481"/>
  <c r="V239" i="50481"/>
  <c r="U239" i="50481"/>
  <c r="T239" i="50481"/>
  <c r="S239" i="50481"/>
  <c r="R239" i="50481"/>
  <c r="Q239" i="50481"/>
  <c r="D239" i="50481"/>
  <c r="W239" i="50481" s="1"/>
  <c r="Y238" i="50481"/>
  <c r="X238" i="50481"/>
  <c r="W238" i="50481"/>
  <c r="V238" i="50481"/>
  <c r="U238" i="50481"/>
  <c r="T238" i="50481"/>
  <c r="S238" i="50481"/>
  <c r="R238" i="50481"/>
  <c r="Q238" i="50481"/>
  <c r="D238" i="50481"/>
  <c r="H238" i="50481" s="1"/>
  <c r="Y237" i="50481"/>
  <c r="X237" i="50481"/>
  <c r="W237" i="50481"/>
  <c r="V237" i="50481"/>
  <c r="H237" i="50481" s="1"/>
  <c r="U237" i="50481"/>
  <c r="T237" i="50481"/>
  <c r="S237" i="50481"/>
  <c r="R237" i="50481"/>
  <c r="Q237" i="50481"/>
  <c r="D237" i="50481"/>
  <c r="Y236" i="50481"/>
  <c r="X236" i="50481"/>
  <c r="W236" i="50481"/>
  <c r="V236" i="50481"/>
  <c r="U236" i="50481"/>
  <c r="T236" i="50481"/>
  <c r="S236" i="50481"/>
  <c r="R236" i="50481"/>
  <c r="Q236" i="50481"/>
  <c r="D236" i="50481"/>
  <c r="H236" i="50481" s="1"/>
  <c r="Y235" i="50481"/>
  <c r="X235" i="50481"/>
  <c r="W235" i="50481"/>
  <c r="V235" i="50481"/>
  <c r="U235" i="50481"/>
  <c r="T235" i="50481"/>
  <c r="S235" i="50481"/>
  <c r="R235" i="50481"/>
  <c r="Q235" i="50481"/>
  <c r="D235" i="50481"/>
  <c r="H235" i="50481" s="1"/>
  <c r="Y234" i="50481"/>
  <c r="X234" i="50481"/>
  <c r="W234" i="50481"/>
  <c r="V234" i="50481"/>
  <c r="U234" i="50481"/>
  <c r="T234" i="50481"/>
  <c r="S234" i="50481"/>
  <c r="R234" i="50481"/>
  <c r="Q234" i="50481"/>
  <c r="D234" i="50481"/>
  <c r="H234" i="50481" s="1"/>
  <c r="Y233" i="50481"/>
  <c r="X233" i="50481"/>
  <c r="V233" i="50481"/>
  <c r="U233" i="50481"/>
  <c r="T233" i="50481"/>
  <c r="S233" i="50481"/>
  <c r="R233" i="50481"/>
  <c r="Q233" i="50481"/>
  <c r="D233" i="50481"/>
  <c r="Y232" i="50481"/>
  <c r="X232" i="50481"/>
  <c r="W232" i="50481"/>
  <c r="V232" i="50481"/>
  <c r="U232" i="50481"/>
  <c r="T232" i="50481"/>
  <c r="S232" i="50481"/>
  <c r="R232" i="50481"/>
  <c r="Q232" i="50481"/>
  <c r="D232" i="50481"/>
  <c r="H232" i="50481" s="1"/>
  <c r="Y231" i="50481"/>
  <c r="X231" i="50481"/>
  <c r="W231" i="50481"/>
  <c r="V231" i="50481"/>
  <c r="U231" i="50481"/>
  <c r="T231" i="50481"/>
  <c r="S231" i="50481"/>
  <c r="R231" i="50481"/>
  <c r="Q231" i="50481"/>
  <c r="H231" i="50481"/>
  <c r="D231" i="50481"/>
  <c r="Y230" i="50481"/>
  <c r="X230" i="50481"/>
  <c r="V230" i="50481"/>
  <c r="U230" i="50481"/>
  <c r="T230" i="50481"/>
  <c r="S230" i="50481"/>
  <c r="R230" i="50481"/>
  <c r="Q230" i="50481"/>
  <c r="D230" i="50481"/>
  <c r="W230" i="50481" s="1"/>
  <c r="Y229" i="50481"/>
  <c r="X229" i="50481"/>
  <c r="V229" i="50481"/>
  <c r="U229" i="50481"/>
  <c r="T229" i="50481"/>
  <c r="S229" i="50481"/>
  <c r="R229" i="50481"/>
  <c r="Q229" i="50481"/>
  <c r="D229" i="50481"/>
  <c r="W229" i="50481" s="1"/>
  <c r="H229" i="50481" s="1"/>
  <c r="Y228" i="50481"/>
  <c r="X228" i="50481"/>
  <c r="V228" i="50481"/>
  <c r="U228" i="50481"/>
  <c r="T228" i="50481"/>
  <c r="S228" i="50481"/>
  <c r="R228" i="50481"/>
  <c r="Q228" i="50481"/>
  <c r="D228" i="50481"/>
  <c r="W228" i="50481" s="1"/>
  <c r="Y227" i="50481"/>
  <c r="X227" i="50481"/>
  <c r="V227" i="50481"/>
  <c r="U227" i="50481"/>
  <c r="T227" i="50481"/>
  <c r="S227" i="50481"/>
  <c r="R227" i="50481"/>
  <c r="Q227" i="50481"/>
  <c r="D227" i="50481"/>
  <c r="W227" i="50481" s="1"/>
  <c r="Y226" i="50481"/>
  <c r="X226" i="50481"/>
  <c r="W226" i="50481"/>
  <c r="V226" i="50481"/>
  <c r="U226" i="50481"/>
  <c r="T226" i="50481"/>
  <c r="S226" i="50481"/>
  <c r="R226" i="50481"/>
  <c r="Q226" i="50481"/>
  <c r="D226" i="50481"/>
  <c r="H226" i="50481" s="1"/>
  <c r="Y225" i="50481"/>
  <c r="X225" i="50481"/>
  <c r="W225" i="50481"/>
  <c r="V225" i="50481"/>
  <c r="H225" i="50481" s="1"/>
  <c r="U225" i="50481"/>
  <c r="T225" i="50481"/>
  <c r="S225" i="50481"/>
  <c r="R225" i="50481"/>
  <c r="Q225" i="50481"/>
  <c r="D225" i="50481"/>
  <c r="Y224" i="50481"/>
  <c r="X224" i="50481"/>
  <c r="W224" i="50481"/>
  <c r="V224" i="50481"/>
  <c r="U224" i="50481"/>
  <c r="T224" i="50481"/>
  <c r="S224" i="50481"/>
  <c r="R224" i="50481"/>
  <c r="Q224" i="50481"/>
  <c r="D224" i="50481"/>
  <c r="H224" i="50481" s="1"/>
  <c r="Y223" i="50481"/>
  <c r="X223" i="50481"/>
  <c r="W223" i="50481"/>
  <c r="V223" i="50481"/>
  <c r="U223" i="50481"/>
  <c r="T223" i="50481"/>
  <c r="S223" i="50481"/>
  <c r="R223" i="50481"/>
  <c r="Q223" i="50481"/>
  <c r="D223" i="50481"/>
  <c r="H223" i="50481" s="1"/>
  <c r="Y222" i="50481"/>
  <c r="X222" i="50481"/>
  <c r="W222" i="50481"/>
  <c r="V222" i="50481"/>
  <c r="U222" i="50481"/>
  <c r="T222" i="50481"/>
  <c r="S222" i="50481"/>
  <c r="R222" i="50481"/>
  <c r="Q222" i="50481"/>
  <c r="D222" i="50481"/>
  <c r="H222" i="50481" s="1"/>
  <c r="Y221" i="50481"/>
  <c r="X221" i="50481"/>
  <c r="V221" i="50481"/>
  <c r="U221" i="50481"/>
  <c r="T221" i="50481"/>
  <c r="S221" i="50481"/>
  <c r="R221" i="50481"/>
  <c r="Q221" i="50481"/>
  <c r="D221" i="50481"/>
  <c r="Y220" i="50481"/>
  <c r="X220" i="50481"/>
  <c r="W220" i="50481"/>
  <c r="V220" i="50481"/>
  <c r="U220" i="50481"/>
  <c r="T220" i="50481"/>
  <c r="S220" i="50481"/>
  <c r="R220" i="50481"/>
  <c r="Q220" i="50481"/>
  <c r="D220" i="50481"/>
  <c r="H220" i="50481" s="1"/>
  <c r="Y219" i="50481"/>
  <c r="X219" i="50481"/>
  <c r="W219" i="50481"/>
  <c r="V219" i="50481"/>
  <c r="U219" i="50481"/>
  <c r="T219" i="50481"/>
  <c r="S219" i="50481"/>
  <c r="R219" i="50481"/>
  <c r="Q219" i="50481"/>
  <c r="H219" i="50481"/>
  <c r="D219" i="50481"/>
  <c r="Y218" i="50481"/>
  <c r="X218" i="50481"/>
  <c r="V218" i="50481"/>
  <c r="U218" i="50481"/>
  <c r="T218" i="50481"/>
  <c r="S218" i="50481"/>
  <c r="R218" i="50481"/>
  <c r="Q218" i="50481"/>
  <c r="D218" i="50481"/>
  <c r="W218" i="50481" s="1"/>
  <c r="Y217" i="50481"/>
  <c r="X217" i="50481"/>
  <c r="V217" i="50481"/>
  <c r="U217" i="50481"/>
  <c r="T217" i="50481"/>
  <c r="S217" i="50481"/>
  <c r="R217" i="50481"/>
  <c r="Q217" i="50481"/>
  <c r="D217" i="50481"/>
  <c r="W217" i="50481" s="1"/>
  <c r="H217" i="50481" s="1"/>
  <c r="Y216" i="50481"/>
  <c r="X216" i="50481"/>
  <c r="V216" i="50481"/>
  <c r="U216" i="50481"/>
  <c r="T216" i="50481"/>
  <c r="S216" i="50481"/>
  <c r="R216" i="50481"/>
  <c r="Q216" i="50481"/>
  <c r="D216" i="50481"/>
  <c r="W216" i="50481" s="1"/>
  <c r="Y215" i="50481"/>
  <c r="X215" i="50481"/>
  <c r="V215" i="50481"/>
  <c r="U215" i="50481"/>
  <c r="T215" i="50481"/>
  <c r="S215" i="50481"/>
  <c r="R215" i="50481"/>
  <c r="Q215" i="50481"/>
  <c r="D215" i="50481"/>
  <c r="W215" i="50481" s="1"/>
  <c r="Y214" i="50481"/>
  <c r="X214" i="50481"/>
  <c r="W214" i="50481"/>
  <c r="V214" i="50481"/>
  <c r="U214" i="50481"/>
  <c r="T214" i="50481"/>
  <c r="S214" i="50481"/>
  <c r="R214" i="50481"/>
  <c r="Q214" i="50481"/>
  <c r="D214" i="50481"/>
  <c r="H214" i="50481" s="1"/>
  <c r="Y213" i="50481"/>
  <c r="X213" i="50481"/>
  <c r="W213" i="50481"/>
  <c r="V213" i="50481"/>
  <c r="H213" i="50481" s="1"/>
  <c r="U213" i="50481"/>
  <c r="T213" i="50481"/>
  <c r="S213" i="50481"/>
  <c r="R213" i="50481"/>
  <c r="Q213" i="50481"/>
  <c r="D213" i="50481"/>
  <c r="Y212" i="50481"/>
  <c r="X212" i="50481"/>
  <c r="W212" i="50481"/>
  <c r="V212" i="50481"/>
  <c r="U212" i="50481"/>
  <c r="T212" i="50481"/>
  <c r="S212" i="50481"/>
  <c r="R212" i="50481"/>
  <c r="Q212" i="50481"/>
  <c r="D212" i="50481"/>
  <c r="H212" i="50481" s="1"/>
  <c r="Y211" i="50481"/>
  <c r="X211" i="50481"/>
  <c r="W211" i="50481"/>
  <c r="V211" i="50481"/>
  <c r="U211" i="50481"/>
  <c r="T211" i="50481"/>
  <c r="S211" i="50481"/>
  <c r="R211" i="50481"/>
  <c r="Q211" i="50481"/>
  <c r="D211" i="50481"/>
  <c r="H211" i="50481" s="1"/>
  <c r="Y210" i="50481"/>
  <c r="X210" i="50481"/>
  <c r="W210" i="50481"/>
  <c r="V210" i="50481"/>
  <c r="U210" i="50481"/>
  <c r="T210" i="50481"/>
  <c r="S210" i="50481"/>
  <c r="H210" i="50481" s="1"/>
  <c r="R210" i="50481"/>
  <c r="Q210" i="50481"/>
  <c r="D210" i="50481"/>
  <c r="Y209" i="50481"/>
  <c r="X209" i="50481"/>
  <c r="V209" i="50481"/>
  <c r="U209" i="50481"/>
  <c r="T209" i="50481"/>
  <c r="S209" i="50481"/>
  <c r="R209" i="50481"/>
  <c r="Q209" i="50481"/>
  <c r="D209" i="50481"/>
  <c r="Y208" i="50481"/>
  <c r="X208" i="50481"/>
  <c r="W208" i="50481"/>
  <c r="V208" i="50481"/>
  <c r="U208" i="50481"/>
  <c r="T208" i="50481"/>
  <c r="S208" i="50481"/>
  <c r="R208" i="50481"/>
  <c r="Q208" i="50481"/>
  <c r="D208" i="50481"/>
  <c r="H208" i="50481" s="1"/>
  <c r="Y207" i="50481"/>
  <c r="X207" i="50481"/>
  <c r="W207" i="50481"/>
  <c r="V207" i="50481"/>
  <c r="U207" i="50481"/>
  <c r="T207" i="50481"/>
  <c r="S207" i="50481"/>
  <c r="R207" i="50481"/>
  <c r="Q207" i="50481"/>
  <c r="H207" i="50481"/>
  <c r="D207" i="50481"/>
  <c r="Y206" i="50481"/>
  <c r="X206" i="50481"/>
  <c r="V206" i="50481"/>
  <c r="U206" i="50481"/>
  <c r="T206" i="50481"/>
  <c r="S206" i="50481"/>
  <c r="R206" i="50481"/>
  <c r="Q206" i="50481"/>
  <c r="D206" i="50481"/>
  <c r="W206" i="50481" s="1"/>
  <c r="Y205" i="50481"/>
  <c r="X205" i="50481"/>
  <c r="V205" i="50481"/>
  <c r="U205" i="50481"/>
  <c r="T205" i="50481"/>
  <c r="S205" i="50481"/>
  <c r="R205" i="50481"/>
  <c r="Q205" i="50481"/>
  <c r="D205" i="50481"/>
  <c r="W205" i="50481" s="1"/>
  <c r="H205" i="50481" s="1"/>
  <c r="Y204" i="50481"/>
  <c r="X204" i="50481"/>
  <c r="V204" i="50481"/>
  <c r="U204" i="50481"/>
  <c r="T204" i="50481"/>
  <c r="S204" i="50481"/>
  <c r="R204" i="50481"/>
  <c r="Q204" i="50481"/>
  <c r="D204" i="50481"/>
  <c r="W204" i="50481" s="1"/>
  <c r="Y203" i="50481"/>
  <c r="X203" i="50481"/>
  <c r="V203" i="50481"/>
  <c r="U203" i="50481"/>
  <c r="T203" i="50481"/>
  <c r="S203" i="50481"/>
  <c r="R203" i="50481"/>
  <c r="Q203" i="50481"/>
  <c r="D203" i="50481"/>
  <c r="W203" i="50481" s="1"/>
  <c r="Y202" i="50481"/>
  <c r="X202" i="50481"/>
  <c r="W202" i="50481"/>
  <c r="V202" i="50481"/>
  <c r="U202" i="50481"/>
  <c r="T202" i="50481"/>
  <c r="S202" i="50481"/>
  <c r="R202" i="50481"/>
  <c r="Q202" i="50481"/>
  <c r="D202" i="50481"/>
  <c r="H202" i="50481" s="1"/>
  <c r="Y201" i="50481"/>
  <c r="X201" i="50481"/>
  <c r="W201" i="50481"/>
  <c r="V201" i="50481"/>
  <c r="H201" i="50481" s="1"/>
  <c r="U201" i="50481"/>
  <c r="T201" i="50481"/>
  <c r="S201" i="50481"/>
  <c r="R201" i="50481"/>
  <c r="Q201" i="50481"/>
  <c r="D201" i="50481"/>
  <c r="Y200" i="50481"/>
  <c r="X200" i="50481"/>
  <c r="W200" i="50481"/>
  <c r="V200" i="50481"/>
  <c r="U200" i="50481"/>
  <c r="T200" i="50481"/>
  <c r="S200" i="50481"/>
  <c r="R200" i="50481"/>
  <c r="Q200" i="50481"/>
  <c r="D200" i="50481"/>
  <c r="H200" i="50481" s="1"/>
  <c r="Y199" i="50481"/>
  <c r="X199" i="50481"/>
  <c r="W199" i="50481"/>
  <c r="V199" i="50481"/>
  <c r="U199" i="50481"/>
  <c r="T199" i="50481"/>
  <c r="S199" i="50481"/>
  <c r="R199" i="50481"/>
  <c r="Q199" i="50481"/>
  <c r="D199" i="50481"/>
  <c r="H199" i="50481" s="1"/>
  <c r="Y198" i="50481"/>
  <c r="X198" i="50481"/>
  <c r="W198" i="50481"/>
  <c r="V198" i="50481"/>
  <c r="U198" i="50481"/>
  <c r="T198" i="50481"/>
  <c r="S198" i="50481"/>
  <c r="H198" i="50481" s="1"/>
  <c r="R198" i="50481"/>
  <c r="Q198" i="50481"/>
  <c r="D198" i="50481"/>
  <c r="Y197" i="50481"/>
  <c r="X197" i="50481"/>
  <c r="V197" i="50481"/>
  <c r="U197" i="50481"/>
  <c r="T197" i="50481"/>
  <c r="S197" i="50481"/>
  <c r="R197" i="50481"/>
  <c r="Q197" i="50481"/>
  <c r="D197" i="50481"/>
  <c r="Y196" i="50481"/>
  <c r="X196" i="50481"/>
  <c r="W196" i="50481"/>
  <c r="V196" i="50481"/>
  <c r="U196" i="50481"/>
  <c r="T196" i="50481"/>
  <c r="S196" i="50481"/>
  <c r="R196" i="50481"/>
  <c r="Q196" i="50481"/>
  <c r="D196" i="50481"/>
  <c r="H196" i="50481" s="1"/>
  <c r="Y195" i="50481"/>
  <c r="X195" i="50481"/>
  <c r="W195" i="50481"/>
  <c r="V195" i="50481"/>
  <c r="U195" i="50481"/>
  <c r="T195" i="50481"/>
  <c r="S195" i="50481"/>
  <c r="R195" i="50481"/>
  <c r="Q195" i="50481"/>
  <c r="H195" i="50481"/>
  <c r="D195" i="50481"/>
  <c r="Y194" i="50481"/>
  <c r="X194" i="50481"/>
  <c r="V194" i="50481"/>
  <c r="U194" i="50481"/>
  <c r="T194" i="50481"/>
  <c r="S194" i="50481"/>
  <c r="R194" i="50481"/>
  <c r="Q194" i="50481"/>
  <c r="D194" i="50481"/>
  <c r="W194" i="50481" s="1"/>
  <c r="Y193" i="50481"/>
  <c r="X193" i="50481"/>
  <c r="V193" i="50481"/>
  <c r="U193" i="50481"/>
  <c r="T193" i="50481"/>
  <c r="S193" i="50481"/>
  <c r="R193" i="50481"/>
  <c r="Q193" i="50481"/>
  <c r="D193" i="50481"/>
  <c r="W193" i="50481" s="1"/>
  <c r="H193" i="50481" s="1"/>
  <c r="Y192" i="50481"/>
  <c r="X192" i="50481"/>
  <c r="V192" i="50481"/>
  <c r="U192" i="50481"/>
  <c r="T192" i="50481"/>
  <c r="S192" i="50481"/>
  <c r="R192" i="50481"/>
  <c r="Q192" i="50481"/>
  <c r="D192" i="50481"/>
  <c r="W192" i="50481" s="1"/>
  <c r="Y191" i="50481"/>
  <c r="X191" i="50481"/>
  <c r="V191" i="50481"/>
  <c r="U191" i="50481"/>
  <c r="T191" i="50481"/>
  <c r="S191" i="50481"/>
  <c r="R191" i="50481"/>
  <c r="Q191" i="50481"/>
  <c r="D191" i="50481"/>
  <c r="W191" i="50481" s="1"/>
  <c r="Y190" i="50481"/>
  <c r="X190" i="50481"/>
  <c r="W190" i="50481"/>
  <c r="V190" i="50481"/>
  <c r="U190" i="50481"/>
  <c r="T190" i="50481"/>
  <c r="S190" i="50481"/>
  <c r="R190" i="50481"/>
  <c r="Q190" i="50481"/>
  <c r="D190" i="50481"/>
  <c r="H190" i="50481" s="1"/>
  <c r="Y189" i="50481"/>
  <c r="X189" i="50481"/>
  <c r="W189" i="50481"/>
  <c r="V189" i="50481"/>
  <c r="H189" i="50481" s="1"/>
  <c r="U189" i="50481"/>
  <c r="T189" i="50481"/>
  <c r="S189" i="50481"/>
  <c r="R189" i="50481"/>
  <c r="Q189" i="50481"/>
  <c r="D189" i="50481"/>
  <c r="Y188" i="50481"/>
  <c r="X188" i="50481"/>
  <c r="W188" i="50481"/>
  <c r="V188" i="50481"/>
  <c r="U188" i="50481"/>
  <c r="T188" i="50481"/>
  <c r="S188" i="50481"/>
  <c r="R188" i="50481"/>
  <c r="Q188" i="50481"/>
  <c r="D188" i="50481"/>
  <c r="H188" i="50481" s="1"/>
  <c r="Y187" i="50481"/>
  <c r="X187" i="50481"/>
  <c r="W187" i="50481"/>
  <c r="V187" i="50481"/>
  <c r="U187" i="50481"/>
  <c r="T187" i="50481"/>
  <c r="S187" i="50481"/>
  <c r="R187" i="50481"/>
  <c r="Q187" i="50481"/>
  <c r="D187" i="50481"/>
  <c r="H187" i="50481" s="1"/>
  <c r="Y186" i="50481"/>
  <c r="X186" i="50481"/>
  <c r="W186" i="50481"/>
  <c r="V186" i="50481"/>
  <c r="U186" i="50481"/>
  <c r="T186" i="50481"/>
  <c r="S186" i="50481"/>
  <c r="H186" i="50481" s="1"/>
  <c r="R186" i="50481"/>
  <c r="Q186" i="50481"/>
  <c r="D186" i="50481"/>
  <c r="Y185" i="50481"/>
  <c r="X185" i="50481"/>
  <c r="V185" i="50481"/>
  <c r="U185" i="50481"/>
  <c r="T185" i="50481"/>
  <c r="S185" i="50481"/>
  <c r="R185" i="50481"/>
  <c r="Q185" i="50481"/>
  <c r="D185" i="50481"/>
  <c r="Y184" i="50481"/>
  <c r="X184" i="50481"/>
  <c r="W184" i="50481"/>
  <c r="V184" i="50481"/>
  <c r="U184" i="50481"/>
  <c r="T184" i="50481"/>
  <c r="S184" i="50481"/>
  <c r="R184" i="50481"/>
  <c r="Q184" i="50481"/>
  <c r="D184" i="50481"/>
  <c r="H184" i="50481" s="1"/>
  <c r="Y183" i="50481"/>
  <c r="X183" i="50481"/>
  <c r="W183" i="50481"/>
  <c r="V183" i="50481"/>
  <c r="U183" i="50481"/>
  <c r="T183" i="50481"/>
  <c r="S183" i="50481"/>
  <c r="R183" i="50481"/>
  <c r="Q183" i="50481"/>
  <c r="H183" i="50481"/>
  <c r="D183" i="50481"/>
  <c r="Y182" i="50481"/>
  <c r="X182" i="50481"/>
  <c r="V182" i="50481"/>
  <c r="U182" i="50481"/>
  <c r="T182" i="50481"/>
  <c r="S182" i="50481"/>
  <c r="R182" i="50481"/>
  <c r="Q182" i="50481"/>
  <c r="D182" i="50481"/>
  <c r="W182" i="50481" s="1"/>
  <c r="Y181" i="50481"/>
  <c r="X181" i="50481"/>
  <c r="V181" i="50481"/>
  <c r="U181" i="50481"/>
  <c r="T181" i="50481"/>
  <c r="S181" i="50481"/>
  <c r="R181" i="50481"/>
  <c r="Q181" i="50481"/>
  <c r="D181" i="50481"/>
  <c r="W181" i="50481" s="1"/>
  <c r="H181" i="50481" s="1"/>
  <c r="Y180" i="50481"/>
  <c r="X180" i="50481"/>
  <c r="V180" i="50481"/>
  <c r="U180" i="50481"/>
  <c r="T180" i="50481"/>
  <c r="S180" i="50481"/>
  <c r="R180" i="50481"/>
  <c r="Q180" i="50481"/>
  <c r="D180" i="50481"/>
  <c r="W180" i="50481" s="1"/>
  <c r="Y179" i="50481"/>
  <c r="X179" i="50481"/>
  <c r="V179" i="50481"/>
  <c r="U179" i="50481"/>
  <c r="T179" i="50481"/>
  <c r="S179" i="50481"/>
  <c r="R179" i="50481"/>
  <c r="Q179" i="50481"/>
  <c r="D179" i="50481"/>
  <c r="W179" i="50481" s="1"/>
  <c r="Y178" i="50481"/>
  <c r="X178" i="50481"/>
  <c r="W178" i="50481"/>
  <c r="V178" i="50481"/>
  <c r="U178" i="50481"/>
  <c r="T178" i="50481"/>
  <c r="S178" i="50481"/>
  <c r="R178" i="50481"/>
  <c r="Q178" i="50481"/>
  <c r="D178" i="50481"/>
  <c r="H178" i="50481" s="1"/>
  <c r="Y177" i="50481"/>
  <c r="X177" i="50481"/>
  <c r="W177" i="50481"/>
  <c r="V177" i="50481"/>
  <c r="H177" i="50481" s="1"/>
  <c r="U177" i="50481"/>
  <c r="T177" i="50481"/>
  <c r="S177" i="50481"/>
  <c r="R177" i="50481"/>
  <c r="Q177" i="50481"/>
  <c r="D177" i="50481"/>
  <c r="Y176" i="50481"/>
  <c r="X176" i="50481"/>
  <c r="W176" i="50481"/>
  <c r="V176" i="50481"/>
  <c r="U176" i="50481"/>
  <c r="T176" i="50481"/>
  <c r="S176" i="50481"/>
  <c r="R176" i="50481"/>
  <c r="Q176" i="50481"/>
  <c r="D176" i="50481"/>
  <c r="H176" i="50481" s="1"/>
  <c r="Y175" i="50481"/>
  <c r="X175" i="50481"/>
  <c r="W175" i="50481"/>
  <c r="V175" i="50481"/>
  <c r="U175" i="50481"/>
  <c r="T175" i="50481"/>
  <c r="S175" i="50481"/>
  <c r="R175" i="50481"/>
  <c r="Q175" i="50481"/>
  <c r="D175" i="50481"/>
  <c r="H175" i="50481" s="1"/>
  <c r="Y174" i="50481"/>
  <c r="X174" i="50481"/>
  <c r="W174" i="50481"/>
  <c r="V174" i="50481"/>
  <c r="U174" i="50481"/>
  <c r="T174" i="50481"/>
  <c r="S174" i="50481"/>
  <c r="H174" i="50481" s="1"/>
  <c r="R174" i="50481"/>
  <c r="Q174" i="50481"/>
  <c r="D174" i="50481"/>
  <c r="Y173" i="50481"/>
  <c r="X173" i="50481"/>
  <c r="V173" i="50481"/>
  <c r="U173" i="50481"/>
  <c r="T173" i="50481"/>
  <c r="S173" i="50481"/>
  <c r="R173" i="50481"/>
  <c r="Q173" i="50481"/>
  <c r="D173" i="50481"/>
  <c r="Y172" i="50481"/>
  <c r="X172" i="50481"/>
  <c r="W172" i="50481"/>
  <c r="V172" i="50481"/>
  <c r="U172" i="50481"/>
  <c r="T172" i="50481"/>
  <c r="S172" i="50481"/>
  <c r="R172" i="50481"/>
  <c r="Q172" i="50481"/>
  <c r="D172" i="50481"/>
  <c r="H172" i="50481" s="1"/>
  <c r="Y171" i="50481"/>
  <c r="X171" i="50481"/>
  <c r="W171" i="50481"/>
  <c r="V171" i="50481"/>
  <c r="U171" i="50481"/>
  <c r="T171" i="50481"/>
  <c r="S171" i="50481"/>
  <c r="R171" i="50481"/>
  <c r="Q171" i="50481"/>
  <c r="H171" i="50481"/>
  <c r="D171" i="50481"/>
  <c r="Y170" i="50481"/>
  <c r="X170" i="50481"/>
  <c r="V170" i="50481"/>
  <c r="U170" i="50481"/>
  <c r="T170" i="50481"/>
  <c r="S170" i="50481"/>
  <c r="R170" i="50481"/>
  <c r="Q170" i="50481"/>
  <c r="D170" i="50481"/>
  <c r="W170" i="50481" s="1"/>
  <c r="Y169" i="50481"/>
  <c r="X169" i="50481"/>
  <c r="V169" i="50481"/>
  <c r="U169" i="50481"/>
  <c r="T169" i="50481"/>
  <c r="S169" i="50481"/>
  <c r="R169" i="50481"/>
  <c r="Q169" i="50481"/>
  <c r="D169" i="50481"/>
  <c r="W169" i="50481" s="1"/>
  <c r="H169" i="50481" s="1"/>
  <c r="Y168" i="50481"/>
  <c r="X168" i="50481"/>
  <c r="V168" i="50481"/>
  <c r="U168" i="50481"/>
  <c r="T168" i="50481"/>
  <c r="S168" i="50481"/>
  <c r="R168" i="50481"/>
  <c r="Q168" i="50481"/>
  <c r="D168" i="50481"/>
  <c r="W168" i="50481" s="1"/>
  <c r="Y167" i="50481"/>
  <c r="X167" i="50481"/>
  <c r="V167" i="50481"/>
  <c r="U167" i="50481"/>
  <c r="T167" i="50481"/>
  <c r="S167" i="50481"/>
  <c r="R167" i="50481"/>
  <c r="D167" i="50481"/>
  <c r="Q167" i="50481" s="1"/>
  <c r="Y159" i="50481"/>
  <c r="X159" i="50481"/>
  <c r="W159" i="50481"/>
  <c r="V159" i="50481"/>
  <c r="U159" i="50481"/>
  <c r="T159" i="50481"/>
  <c r="S159" i="50481"/>
  <c r="R159" i="50481"/>
  <c r="D159" i="50481"/>
  <c r="Q159" i="50481" s="1"/>
  <c r="Y158" i="50481"/>
  <c r="X158" i="50481"/>
  <c r="W158" i="50481"/>
  <c r="V158" i="50481"/>
  <c r="U158" i="50481"/>
  <c r="T158" i="50481"/>
  <c r="S158" i="50481"/>
  <c r="R158" i="50481"/>
  <c r="D158" i="50481"/>
  <c r="Q158" i="50481" s="1"/>
  <c r="Y157" i="50481"/>
  <c r="X157" i="50481"/>
  <c r="W157" i="50481"/>
  <c r="V157" i="50481"/>
  <c r="U157" i="50481"/>
  <c r="T157" i="50481"/>
  <c r="S157" i="50481"/>
  <c r="R157" i="50481"/>
  <c r="D157" i="50481"/>
  <c r="Q157" i="50481" s="1"/>
  <c r="Y156" i="50481"/>
  <c r="X156" i="50481"/>
  <c r="W156" i="50481"/>
  <c r="V156" i="50481"/>
  <c r="U156" i="50481"/>
  <c r="T156" i="50481"/>
  <c r="S156" i="50481"/>
  <c r="R156" i="50481"/>
  <c r="D156" i="50481"/>
  <c r="Q156" i="50481" s="1"/>
  <c r="Y155" i="50481"/>
  <c r="X155" i="50481"/>
  <c r="W155" i="50481"/>
  <c r="V155" i="50481"/>
  <c r="U155" i="50481"/>
  <c r="T155" i="50481"/>
  <c r="S155" i="50481"/>
  <c r="R155" i="50481"/>
  <c r="D155" i="50481"/>
  <c r="Q155" i="50481" s="1"/>
  <c r="Y154" i="50481"/>
  <c r="X154" i="50481"/>
  <c r="W154" i="50481"/>
  <c r="V154" i="50481"/>
  <c r="U154" i="50481"/>
  <c r="T154" i="50481"/>
  <c r="S154" i="50481"/>
  <c r="R154" i="50481"/>
  <c r="D154" i="50481"/>
  <c r="Q154" i="50481" s="1"/>
  <c r="Y153" i="50481"/>
  <c r="X153" i="50481"/>
  <c r="W153" i="50481"/>
  <c r="V153" i="50481"/>
  <c r="U153" i="50481"/>
  <c r="T153" i="50481"/>
  <c r="S153" i="50481"/>
  <c r="R153" i="50481"/>
  <c r="D153" i="50481"/>
  <c r="Q153" i="50481" s="1"/>
  <c r="Y152" i="50481"/>
  <c r="X152" i="50481"/>
  <c r="W152" i="50481"/>
  <c r="V152" i="50481"/>
  <c r="U152" i="50481"/>
  <c r="T152" i="50481"/>
  <c r="S152" i="50481"/>
  <c r="R152" i="50481"/>
  <c r="D152" i="50481"/>
  <c r="Q152" i="50481" s="1"/>
  <c r="Y151" i="50481"/>
  <c r="X151" i="50481"/>
  <c r="W151" i="50481"/>
  <c r="V151" i="50481"/>
  <c r="U151" i="50481"/>
  <c r="T151" i="50481"/>
  <c r="S151" i="50481"/>
  <c r="R151" i="50481"/>
  <c r="D151" i="50481"/>
  <c r="Q151" i="50481" s="1"/>
  <c r="Y150" i="50481"/>
  <c r="X150" i="50481"/>
  <c r="W150" i="50481"/>
  <c r="V150" i="50481"/>
  <c r="U150" i="50481"/>
  <c r="T150" i="50481"/>
  <c r="S150" i="50481"/>
  <c r="R150" i="50481"/>
  <c r="D150" i="50481"/>
  <c r="Q150" i="50481" s="1"/>
  <c r="Y149" i="50481"/>
  <c r="X149" i="50481"/>
  <c r="W149" i="50481"/>
  <c r="V149" i="50481"/>
  <c r="U149" i="50481"/>
  <c r="T149" i="50481"/>
  <c r="S149" i="50481"/>
  <c r="R149" i="50481"/>
  <c r="D149" i="50481"/>
  <c r="Y148" i="50481"/>
  <c r="X148" i="50481"/>
  <c r="W148" i="50481"/>
  <c r="V148" i="50481"/>
  <c r="U148" i="50481"/>
  <c r="T148" i="50481"/>
  <c r="S148" i="50481"/>
  <c r="R148" i="50481"/>
  <c r="D148" i="50481"/>
  <c r="Y147" i="50481"/>
  <c r="X147" i="50481"/>
  <c r="W147" i="50481"/>
  <c r="V147" i="50481"/>
  <c r="U147" i="50481"/>
  <c r="T147" i="50481"/>
  <c r="S147" i="50481"/>
  <c r="R147" i="50481"/>
  <c r="D147" i="50481"/>
  <c r="Q147" i="50481" s="1"/>
  <c r="Y146" i="50481"/>
  <c r="X146" i="50481"/>
  <c r="W146" i="50481"/>
  <c r="V146" i="50481"/>
  <c r="U146" i="50481"/>
  <c r="T146" i="50481"/>
  <c r="S146" i="50481"/>
  <c r="R146" i="50481"/>
  <c r="D146" i="50481"/>
  <c r="Q146" i="50481" s="1"/>
  <c r="Y145" i="50481"/>
  <c r="X145" i="50481"/>
  <c r="W145" i="50481"/>
  <c r="V145" i="50481"/>
  <c r="U145" i="50481"/>
  <c r="T145" i="50481"/>
  <c r="S145" i="50481"/>
  <c r="R145" i="50481"/>
  <c r="D145" i="50481"/>
  <c r="Q145" i="50481" s="1"/>
  <c r="Y144" i="50481"/>
  <c r="X144" i="50481"/>
  <c r="W144" i="50481"/>
  <c r="V144" i="50481"/>
  <c r="U144" i="50481"/>
  <c r="T144" i="50481"/>
  <c r="S144" i="50481"/>
  <c r="R144" i="50481"/>
  <c r="D144" i="50481"/>
  <c r="Q144" i="50481" s="1"/>
  <c r="Y143" i="50481"/>
  <c r="X143" i="50481"/>
  <c r="W143" i="50481"/>
  <c r="V143" i="50481"/>
  <c r="U143" i="50481"/>
  <c r="T143" i="50481"/>
  <c r="S143" i="50481"/>
  <c r="R143" i="50481"/>
  <c r="D143" i="50481"/>
  <c r="Q143" i="50481" s="1"/>
  <c r="Y142" i="50481"/>
  <c r="X142" i="50481"/>
  <c r="W142" i="50481"/>
  <c r="V142" i="50481"/>
  <c r="U142" i="50481"/>
  <c r="T142" i="50481"/>
  <c r="S142" i="50481"/>
  <c r="R142" i="50481"/>
  <c r="D142" i="50481"/>
  <c r="Q142" i="50481" s="1"/>
  <c r="Y141" i="50481"/>
  <c r="X141" i="50481"/>
  <c r="W141" i="50481"/>
  <c r="V141" i="50481"/>
  <c r="U141" i="50481"/>
  <c r="T141" i="50481"/>
  <c r="S141" i="50481"/>
  <c r="R141" i="50481"/>
  <c r="D141" i="50481"/>
  <c r="Q141" i="50481" s="1"/>
  <c r="Y140" i="50481"/>
  <c r="X140" i="50481"/>
  <c r="W140" i="50481"/>
  <c r="V140" i="50481"/>
  <c r="U140" i="50481"/>
  <c r="T140" i="50481"/>
  <c r="S140" i="50481"/>
  <c r="R140" i="50481"/>
  <c r="D140" i="50481"/>
  <c r="Q140" i="50481" s="1"/>
  <c r="Y139" i="50481"/>
  <c r="X139" i="50481"/>
  <c r="W139" i="50481"/>
  <c r="V139" i="50481"/>
  <c r="U139" i="50481"/>
  <c r="T139" i="50481"/>
  <c r="S139" i="50481"/>
  <c r="R139" i="50481"/>
  <c r="D139" i="50481"/>
  <c r="Q139" i="50481" s="1"/>
  <c r="Y138" i="50481"/>
  <c r="X138" i="50481"/>
  <c r="W138" i="50481"/>
  <c r="V138" i="50481"/>
  <c r="U138" i="50481"/>
  <c r="T138" i="50481"/>
  <c r="S138" i="50481"/>
  <c r="R138" i="50481"/>
  <c r="Q138" i="50481"/>
  <c r="D138" i="50481"/>
  <c r="Y137" i="50481"/>
  <c r="X137" i="50481"/>
  <c r="W137" i="50481"/>
  <c r="V137" i="50481"/>
  <c r="U137" i="50481"/>
  <c r="T137" i="50481"/>
  <c r="S137" i="50481"/>
  <c r="R137" i="50481"/>
  <c r="Q137" i="50481"/>
  <c r="D137" i="50481"/>
  <c r="H137" i="50481" s="1"/>
  <c r="Y136" i="50481"/>
  <c r="X136" i="50481"/>
  <c r="W136" i="50481"/>
  <c r="V136" i="50481"/>
  <c r="U136" i="50481"/>
  <c r="T136" i="50481"/>
  <c r="S136" i="50481"/>
  <c r="R136" i="50481"/>
  <c r="D136" i="50481"/>
  <c r="Y135" i="50481"/>
  <c r="X135" i="50481"/>
  <c r="W135" i="50481"/>
  <c r="V135" i="50481"/>
  <c r="U135" i="50481"/>
  <c r="T135" i="50481"/>
  <c r="S135" i="50481"/>
  <c r="R135" i="50481"/>
  <c r="D135" i="50481"/>
  <c r="Q135" i="50481" s="1"/>
  <c r="Y134" i="50481"/>
  <c r="X134" i="50481"/>
  <c r="W134" i="50481"/>
  <c r="V134" i="50481"/>
  <c r="U134" i="50481"/>
  <c r="T134" i="50481"/>
  <c r="S134" i="50481"/>
  <c r="R134" i="50481"/>
  <c r="D134" i="50481"/>
  <c r="Q134" i="50481" s="1"/>
  <c r="Y133" i="50481"/>
  <c r="X133" i="50481"/>
  <c r="W133" i="50481"/>
  <c r="V133" i="50481"/>
  <c r="U133" i="50481"/>
  <c r="T133" i="50481"/>
  <c r="S133" i="50481"/>
  <c r="R133" i="50481"/>
  <c r="D133" i="50481"/>
  <c r="Q133" i="50481" s="1"/>
  <c r="Y132" i="50481"/>
  <c r="X132" i="50481"/>
  <c r="W132" i="50481"/>
  <c r="V132" i="50481"/>
  <c r="U132" i="50481"/>
  <c r="T132" i="50481"/>
  <c r="S132" i="50481"/>
  <c r="R132" i="50481"/>
  <c r="D132" i="50481"/>
  <c r="Q132" i="50481" s="1"/>
  <c r="Y166" i="50481"/>
  <c r="X166" i="50481"/>
  <c r="W166" i="50481"/>
  <c r="V166" i="50481"/>
  <c r="U166" i="50481"/>
  <c r="T166" i="50481"/>
  <c r="S166" i="50481"/>
  <c r="R166" i="50481"/>
  <c r="D166" i="50481"/>
  <c r="Q166" i="50481" s="1"/>
  <c r="Y165" i="50481"/>
  <c r="X165" i="50481"/>
  <c r="W165" i="50481"/>
  <c r="V165" i="50481"/>
  <c r="U165" i="50481"/>
  <c r="T165" i="50481"/>
  <c r="S165" i="50481"/>
  <c r="R165" i="50481"/>
  <c r="D165" i="50481"/>
  <c r="Q165" i="50481" s="1"/>
  <c r="Y164" i="50481"/>
  <c r="X164" i="50481"/>
  <c r="W164" i="50481"/>
  <c r="V164" i="50481"/>
  <c r="U164" i="50481"/>
  <c r="T164" i="50481"/>
  <c r="S164" i="50481"/>
  <c r="R164" i="50481"/>
  <c r="D164" i="50481"/>
  <c r="Y163" i="50481"/>
  <c r="X163" i="50481"/>
  <c r="W163" i="50481"/>
  <c r="V163" i="50481"/>
  <c r="U163" i="50481"/>
  <c r="T163" i="50481"/>
  <c r="S163" i="50481"/>
  <c r="R163" i="50481"/>
  <c r="D163" i="50481"/>
  <c r="Y162" i="50481"/>
  <c r="X162" i="50481"/>
  <c r="W162" i="50481"/>
  <c r="V162" i="50481"/>
  <c r="U162" i="50481"/>
  <c r="T162" i="50481"/>
  <c r="S162" i="50481"/>
  <c r="R162" i="50481"/>
  <c r="D162" i="50481"/>
  <c r="Q162" i="50481" s="1"/>
  <c r="Y161" i="50481"/>
  <c r="X161" i="50481"/>
  <c r="W161" i="50481"/>
  <c r="V161" i="50481"/>
  <c r="U161" i="50481"/>
  <c r="T161" i="50481"/>
  <c r="S161" i="50481"/>
  <c r="R161" i="50481"/>
  <c r="D161" i="50481"/>
  <c r="Q161" i="50481" s="1"/>
  <c r="Y160" i="50481"/>
  <c r="X160" i="50481"/>
  <c r="W160" i="50481"/>
  <c r="V160" i="50481"/>
  <c r="U160" i="50481"/>
  <c r="T160" i="50481"/>
  <c r="S160" i="50481"/>
  <c r="R160" i="50481"/>
  <c r="D160" i="50481"/>
  <c r="Q160" i="50481" s="1"/>
  <c r="Y131" i="50481"/>
  <c r="X131" i="50481"/>
  <c r="W131" i="50481"/>
  <c r="V131" i="50481"/>
  <c r="U131" i="50481"/>
  <c r="T131" i="50481"/>
  <c r="S131" i="50481"/>
  <c r="R131" i="50481"/>
  <c r="D131" i="50481"/>
  <c r="Q131" i="50481" s="1"/>
  <c r="Y130" i="50481"/>
  <c r="X130" i="50481"/>
  <c r="W130" i="50481"/>
  <c r="V130" i="50481"/>
  <c r="U130" i="50481"/>
  <c r="T130" i="50481"/>
  <c r="S130" i="50481"/>
  <c r="R130" i="50481"/>
  <c r="D130" i="50481"/>
  <c r="Q130" i="50481" s="1"/>
  <c r="Y129" i="50481"/>
  <c r="X129" i="50481"/>
  <c r="W129" i="50481"/>
  <c r="V129" i="50481"/>
  <c r="U129" i="50481"/>
  <c r="T129" i="50481"/>
  <c r="S129" i="50481"/>
  <c r="R129" i="50481"/>
  <c r="D129" i="50481"/>
  <c r="Q129" i="50481" s="1"/>
  <c r="Y128" i="50481"/>
  <c r="X128" i="50481"/>
  <c r="W128" i="50481"/>
  <c r="V128" i="50481"/>
  <c r="U128" i="50481"/>
  <c r="T128" i="50481"/>
  <c r="S128" i="50481"/>
  <c r="R128" i="50481"/>
  <c r="D128" i="50481"/>
  <c r="Q128" i="50481" s="1"/>
  <c r="Y127" i="50481"/>
  <c r="X127" i="50481"/>
  <c r="W127" i="50481"/>
  <c r="V127" i="50481"/>
  <c r="U127" i="50481"/>
  <c r="T127" i="50481"/>
  <c r="S127" i="50481"/>
  <c r="R127" i="50481"/>
  <c r="D127" i="50481"/>
  <c r="Q127" i="50481" s="1"/>
  <c r="Y126" i="50481"/>
  <c r="X126" i="50481"/>
  <c r="W126" i="50481"/>
  <c r="V126" i="50481"/>
  <c r="U126" i="50481"/>
  <c r="T126" i="50481"/>
  <c r="S126" i="50481"/>
  <c r="R126" i="50481"/>
  <c r="D126" i="50481"/>
  <c r="Q126" i="50481" s="1"/>
  <c r="Y125" i="50481"/>
  <c r="X125" i="50481"/>
  <c r="W125" i="50481"/>
  <c r="V125" i="50481"/>
  <c r="U125" i="50481"/>
  <c r="T125" i="50481"/>
  <c r="S125" i="50481"/>
  <c r="R125" i="50481"/>
  <c r="D125" i="50481"/>
  <c r="Q125" i="50481" s="1"/>
  <c r="Y124" i="50481"/>
  <c r="X124" i="50481"/>
  <c r="W124" i="50481"/>
  <c r="V124" i="50481"/>
  <c r="U124" i="50481"/>
  <c r="T124" i="50481"/>
  <c r="S124" i="50481"/>
  <c r="R124" i="50481"/>
  <c r="D124" i="50481"/>
  <c r="Y123" i="50481"/>
  <c r="X123" i="50481"/>
  <c r="W123" i="50481"/>
  <c r="V123" i="50481"/>
  <c r="U123" i="50481"/>
  <c r="T123" i="50481"/>
  <c r="S123" i="50481"/>
  <c r="R123" i="50481"/>
  <c r="Q123" i="50481"/>
  <c r="D123" i="50481"/>
  <c r="Y122" i="50481"/>
  <c r="X122" i="50481"/>
  <c r="W122" i="50481"/>
  <c r="V122" i="50481"/>
  <c r="U122" i="50481"/>
  <c r="T122" i="50481"/>
  <c r="S122" i="50481"/>
  <c r="R122" i="50481"/>
  <c r="D122" i="50481"/>
  <c r="Q122" i="50481" s="1"/>
  <c r="Y121" i="50481"/>
  <c r="X121" i="50481"/>
  <c r="W121" i="50481"/>
  <c r="V121" i="50481"/>
  <c r="U121" i="50481"/>
  <c r="T121" i="50481"/>
  <c r="S121" i="50481"/>
  <c r="R121" i="50481"/>
  <c r="D121" i="50481"/>
  <c r="Q121" i="50481" s="1"/>
  <c r="Y120" i="50481"/>
  <c r="X120" i="50481"/>
  <c r="W120" i="50481"/>
  <c r="V120" i="50481"/>
  <c r="U120" i="50481"/>
  <c r="T120" i="50481"/>
  <c r="S120" i="50481"/>
  <c r="R120" i="50481"/>
  <c r="D120" i="50481"/>
  <c r="Q120" i="50481" s="1"/>
  <c r="Y119" i="50481"/>
  <c r="X119" i="50481"/>
  <c r="W119" i="50481"/>
  <c r="V119" i="50481"/>
  <c r="U119" i="50481"/>
  <c r="T119" i="50481"/>
  <c r="S119" i="50481"/>
  <c r="R119" i="50481"/>
  <c r="D119" i="50481"/>
  <c r="Q119" i="50481" s="1"/>
  <c r="Y118" i="50481"/>
  <c r="X118" i="50481"/>
  <c r="W118" i="50481"/>
  <c r="V118" i="50481"/>
  <c r="U118" i="50481"/>
  <c r="T118" i="50481"/>
  <c r="S118" i="50481"/>
  <c r="R118" i="50481"/>
  <c r="D118" i="50481"/>
  <c r="Q118" i="50481" s="1"/>
  <c r="Y117" i="50481"/>
  <c r="X117" i="50481"/>
  <c r="W117" i="50481"/>
  <c r="V117" i="50481"/>
  <c r="U117" i="50481"/>
  <c r="T117" i="50481"/>
  <c r="S117" i="50481"/>
  <c r="R117" i="50481"/>
  <c r="D117" i="50481"/>
  <c r="Q117" i="50481" s="1"/>
  <c r="Y116" i="50481"/>
  <c r="X116" i="50481"/>
  <c r="W116" i="50481"/>
  <c r="V116" i="50481"/>
  <c r="U116" i="50481"/>
  <c r="T116" i="50481"/>
  <c r="S116" i="50481"/>
  <c r="R116" i="50481"/>
  <c r="D116" i="50481"/>
  <c r="Q116" i="50481" s="1"/>
  <c r="Y115" i="50481"/>
  <c r="X115" i="50481"/>
  <c r="W115" i="50481"/>
  <c r="V115" i="50481"/>
  <c r="U115" i="50481"/>
  <c r="T115" i="50481"/>
  <c r="S115" i="50481"/>
  <c r="R115" i="50481"/>
  <c r="D115" i="50481"/>
  <c r="Q115" i="50481" s="1"/>
  <c r="Y114" i="50481"/>
  <c r="X114" i="50481"/>
  <c r="W114" i="50481"/>
  <c r="V114" i="50481"/>
  <c r="U114" i="50481"/>
  <c r="T114" i="50481"/>
  <c r="S114" i="50481"/>
  <c r="R114" i="50481"/>
  <c r="D114" i="50481"/>
  <c r="Q114" i="50481" s="1"/>
  <c r="Y113" i="50481"/>
  <c r="X113" i="50481"/>
  <c r="W113" i="50481"/>
  <c r="V113" i="50481"/>
  <c r="U113" i="50481"/>
  <c r="T113" i="50481"/>
  <c r="S113" i="50481"/>
  <c r="R113" i="50481"/>
  <c r="D113" i="50481"/>
  <c r="Q113" i="50481" s="1"/>
  <c r="Y110" i="50481"/>
  <c r="X110" i="50481"/>
  <c r="W110" i="50481"/>
  <c r="V110" i="50481"/>
  <c r="U110" i="50481"/>
  <c r="T110" i="50481"/>
  <c r="S110" i="50481"/>
  <c r="R110" i="50481"/>
  <c r="D110" i="50481"/>
  <c r="Q110" i="50481" s="1"/>
  <c r="D112" i="50481"/>
  <c r="D111" i="50481"/>
  <c r="D109" i="50481"/>
  <c r="D108" i="50481"/>
  <c r="D107" i="50481"/>
  <c r="D106" i="50481"/>
  <c r="D105" i="50481"/>
  <c r="D104" i="50481"/>
  <c r="D103" i="50481"/>
  <c r="D102" i="50481"/>
  <c r="D101" i="50481"/>
  <c r="D100" i="50481"/>
  <c r="D99" i="50481"/>
  <c r="D98" i="50481"/>
  <c r="D97" i="50481"/>
  <c r="D96" i="50481"/>
  <c r="D95" i="50481"/>
  <c r="D94" i="50481"/>
  <c r="D93" i="50481"/>
  <c r="D92" i="50481"/>
  <c r="D91" i="50481"/>
  <c r="D90" i="50481"/>
  <c r="D89" i="50481"/>
  <c r="D88" i="50481"/>
  <c r="D87" i="50481"/>
  <c r="D86" i="50481"/>
  <c r="D85" i="50481"/>
  <c r="D84" i="50481"/>
  <c r="D83" i="50481"/>
  <c r="D82" i="50481"/>
  <c r="D81" i="50481"/>
  <c r="D80" i="50481"/>
  <c r="D79" i="50481"/>
  <c r="D78" i="50481"/>
  <c r="G97" i="50480"/>
  <c r="G98" i="50480"/>
  <c r="G99" i="50480"/>
  <c r="G100" i="50480"/>
  <c r="G101" i="50480"/>
  <c r="G102" i="50480"/>
  <c r="G103" i="50480"/>
  <c r="C86" i="50478"/>
  <c r="C117" i="50478" s="1"/>
  <c r="E33" i="50478"/>
  <c r="H185" i="50481" l="1"/>
  <c r="H209" i="50481"/>
  <c r="H170" i="50481"/>
  <c r="H182" i="50481"/>
  <c r="H194" i="50481"/>
  <c r="H206" i="50481"/>
  <c r="H218" i="50481"/>
  <c r="H230" i="50481"/>
  <c r="H242" i="50481"/>
  <c r="H254" i="50481"/>
  <c r="H266" i="50481"/>
  <c r="H278" i="50481"/>
  <c r="H290" i="50481"/>
  <c r="H302" i="50481"/>
  <c r="H192" i="50481"/>
  <c r="H312" i="50481"/>
  <c r="H179" i="50481"/>
  <c r="H191" i="50481"/>
  <c r="H203" i="50481"/>
  <c r="H215" i="50481"/>
  <c r="H227" i="50481"/>
  <c r="H239" i="50481"/>
  <c r="H251" i="50481"/>
  <c r="H263" i="50481"/>
  <c r="H275" i="50481"/>
  <c r="H287" i="50481"/>
  <c r="H299" i="50481"/>
  <c r="H311" i="50481"/>
  <c r="H216" i="50481"/>
  <c r="H228" i="50481"/>
  <c r="H288" i="50481"/>
  <c r="H300" i="50481"/>
  <c r="W173" i="50481"/>
  <c r="H173" i="50481" s="1"/>
  <c r="W185" i="50481"/>
  <c r="W197" i="50481"/>
  <c r="H197" i="50481" s="1"/>
  <c r="W209" i="50481"/>
  <c r="W221" i="50481"/>
  <c r="H221" i="50481" s="1"/>
  <c r="W233" i="50481"/>
  <c r="H233" i="50481" s="1"/>
  <c r="W245" i="50481"/>
  <c r="H245" i="50481" s="1"/>
  <c r="W257" i="50481"/>
  <c r="H257" i="50481" s="1"/>
  <c r="W269" i="50481"/>
  <c r="H269" i="50481" s="1"/>
  <c r="W281" i="50481"/>
  <c r="H281" i="50481" s="1"/>
  <c r="H240" i="50481"/>
  <c r="H252" i="50481"/>
  <c r="H264" i="50481"/>
  <c r="H276" i="50481"/>
  <c r="H168" i="50481"/>
  <c r="H180" i="50481"/>
  <c r="H204" i="50481"/>
  <c r="W167" i="50481"/>
  <c r="H167" i="50481"/>
  <c r="H149" i="50481"/>
  <c r="Q149" i="50481"/>
  <c r="H138" i="50481"/>
  <c r="H150" i="50481"/>
  <c r="H148" i="50481"/>
  <c r="H135" i="50481"/>
  <c r="Q136" i="50481"/>
  <c r="H136" i="50481" s="1"/>
  <c r="H147" i="50481"/>
  <c r="Q148" i="50481"/>
  <c r="H159" i="50481"/>
  <c r="H134" i="50481"/>
  <c r="H146" i="50481"/>
  <c r="H158" i="50481"/>
  <c r="H133" i="50481"/>
  <c r="H145" i="50481"/>
  <c r="H157" i="50481"/>
  <c r="H132" i="50481"/>
  <c r="H144" i="50481"/>
  <c r="H156" i="50481"/>
  <c r="H143" i="50481"/>
  <c r="H155" i="50481"/>
  <c r="H142" i="50481"/>
  <c r="H154" i="50481"/>
  <c r="H141" i="50481"/>
  <c r="H153" i="50481"/>
  <c r="H140" i="50481"/>
  <c r="H152" i="50481"/>
  <c r="H139" i="50481"/>
  <c r="H151" i="50481"/>
  <c r="H123" i="50481"/>
  <c r="H116" i="50481"/>
  <c r="Q164" i="50481"/>
  <c r="H164" i="50481" s="1"/>
  <c r="Q124" i="50481"/>
  <c r="H124" i="50481" s="1"/>
  <c r="H122" i="50481"/>
  <c r="H130" i="50481"/>
  <c r="Q163" i="50481"/>
  <c r="H163" i="50481" s="1"/>
  <c r="H126" i="50481"/>
  <c r="H113" i="50481"/>
  <c r="H125" i="50481"/>
  <c r="H117" i="50481"/>
  <c r="H129" i="50481"/>
  <c r="H162" i="50481"/>
  <c r="H161" i="50481"/>
  <c r="H160" i="50481"/>
  <c r="H131" i="50481"/>
  <c r="H128" i="50481"/>
  <c r="H127" i="50481"/>
  <c r="H166" i="50481"/>
  <c r="H165" i="50481"/>
  <c r="H121" i="50481"/>
  <c r="H120" i="50481"/>
  <c r="H119" i="50481"/>
  <c r="H118" i="50481"/>
  <c r="H115" i="50481"/>
  <c r="H114" i="50481"/>
  <c r="H110" i="50481"/>
  <c r="C72" i="50478"/>
  <c r="C285" i="50480"/>
  <c r="D285" i="50480" s="1"/>
  <c r="C286" i="50480"/>
  <c r="D286" i="50480" s="1"/>
  <c r="C287" i="50480"/>
  <c r="D287" i="50480" s="1"/>
  <c r="C279" i="50480"/>
  <c r="D279" i="50480" s="1"/>
  <c r="C280" i="50480"/>
  <c r="D280" i="50480" s="1"/>
  <c r="C281" i="50480"/>
  <c r="D281" i="50480" s="1"/>
  <c r="G29" i="50480"/>
  <c r="G30" i="50480"/>
  <c r="G31" i="50480"/>
  <c r="G32" i="50480"/>
  <c r="G33" i="50480"/>
  <c r="G34" i="50480"/>
  <c r="G35" i="50480"/>
  <c r="G36" i="50480"/>
  <c r="G37" i="50480"/>
  <c r="G38" i="50480"/>
  <c r="G39" i="50480"/>
  <c r="G40" i="50480"/>
  <c r="G41" i="50480"/>
  <c r="G42" i="50480"/>
  <c r="G43" i="50480"/>
  <c r="G44" i="50480"/>
  <c r="G45" i="50480"/>
  <c r="G46" i="50480"/>
  <c r="G47" i="50480"/>
  <c r="G48" i="50480"/>
  <c r="G49" i="50480"/>
  <c r="G50" i="50480"/>
  <c r="G51" i="50480"/>
  <c r="G52" i="50480"/>
  <c r="G53" i="50480"/>
  <c r="G54" i="50480"/>
  <c r="G55" i="50480"/>
  <c r="G56" i="50480"/>
  <c r="G57" i="50480"/>
  <c r="G58" i="50480"/>
  <c r="G59" i="50480"/>
  <c r="G60" i="50480"/>
  <c r="G61" i="50480"/>
  <c r="G62" i="50480"/>
  <c r="G63" i="50480"/>
  <c r="G64" i="50480"/>
  <c r="G65" i="50480"/>
  <c r="G66" i="50480"/>
  <c r="G67" i="50480"/>
  <c r="G68" i="50480"/>
  <c r="G69" i="50480"/>
  <c r="G70" i="50480"/>
  <c r="G71" i="50480"/>
  <c r="G72" i="50480"/>
  <c r="G73" i="50480"/>
  <c r="G74" i="50480"/>
  <c r="G75" i="50480"/>
  <c r="G76" i="50480"/>
  <c r="G77" i="50480"/>
  <c r="G78" i="50480"/>
  <c r="G79" i="50480"/>
  <c r="G80" i="50480"/>
  <c r="G81" i="50480"/>
  <c r="G82" i="50480"/>
  <c r="G83" i="50480"/>
  <c r="G84" i="50480"/>
  <c r="G85" i="50480"/>
  <c r="G86" i="50480"/>
  <c r="G87" i="50480"/>
  <c r="G88" i="50480"/>
  <c r="G89" i="50480"/>
  <c r="G90" i="50480"/>
  <c r="G91" i="50480"/>
  <c r="G92" i="50480"/>
  <c r="G93" i="50480"/>
  <c r="G94" i="50480"/>
  <c r="G95" i="50480"/>
  <c r="G96" i="50480"/>
  <c r="G22" i="50480"/>
  <c r="E287" i="50480" l="1"/>
  <c r="E286" i="50480"/>
  <c r="E285" i="50480"/>
  <c r="E281" i="50480"/>
  <c r="E280" i="50480"/>
  <c r="E279" i="50480"/>
  <c r="C96" i="50478"/>
  <c r="C97" i="50478"/>
  <c r="C95" i="50478"/>
  <c r="C91" i="50478"/>
  <c r="C92" i="50478"/>
  <c r="C93" i="50478"/>
  <c r="C90" i="50478"/>
  <c r="C88" i="50478"/>
  <c r="D41" i="50493"/>
  <c r="E121" i="50478" l="1"/>
  <c r="D121" i="50478"/>
  <c r="C121" i="50478"/>
  <c r="E124" i="50478"/>
  <c r="D124" i="50478"/>
  <c r="C124" i="50478"/>
  <c r="E122" i="50478"/>
  <c r="D122" i="50478"/>
  <c r="C122" i="50478"/>
  <c r="C123" i="50478"/>
  <c r="E123" i="50478"/>
  <c r="D123" i="50478"/>
  <c r="D119" i="50478"/>
  <c r="C119" i="50478"/>
  <c r="E119" i="50478"/>
  <c r="E16" i="50478" l="1"/>
  <c r="E17" i="50478"/>
  <c r="E18" i="50478"/>
  <c r="E19" i="50478"/>
  <c r="E20" i="50478"/>
  <c r="E21" i="50478"/>
  <c r="E22" i="50478"/>
  <c r="E23" i="50478"/>
  <c r="E24" i="50478"/>
  <c r="E25" i="50478"/>
  <c r="E26" i="50478"/>
  <c r="E27" i="50478"/>
  <c r="E28" i="50478"/>
  <c r="E29" i="50478"/>
  <c r="E30" i="50478"/>
  <c r="E31" i="50478"/>
  <c r="E32" i="50478"/>
  <c r="E34" i="50478"/>
  <c r="E35" i="50478"/>
  <c r="E36" i="50478"/>
  <c r="E37" i="50478"/>
  <c r="E38" i="50478"/>
  <c r="E39" i="50478"/>
  <c r="E40" i="50478"/>
  <c r="E41" i="50478"/>
  <c r="E42" i="50478"/>
  <c r="E43" i="50478"/>
  <c r="E44" i="50478"/>
  <c r="E45" i="50478"/>
  <c r="E46" i="50478"/>
  <c r="E47" i="50478"/>
  <c r="E48" i="50478"/>
  <c r="E49" i="50478"/>
  <c r="E50" i="50478"/>
  <c r="E51" i="50478"/>
  <c r="E52" i="50478"/>
  <c r="E53" i="50478"/>
  <c r="E54" i="50478"/>
  <c r="E55" i="50478"/>
  <c r="E56" i="50478"/>
  <c r="E57" i="50478"/>
  <c r="E58" i="50478"/>
  <c r="E15" i="50478"/>
  <c r="D151" i="50492" l="1"/>
  <c r="C151" i="50492"/>
  <c r="D150" i="50492"/>
  <c r="C150" i="50492"/>
  <c r="D149" i="50492"/>
  <c r="C149" i="50492"/>
  <c r="D119" i="50492"/>
  <c r="C119" i="50492"/>
  <c r="C118" i="50492"/>
  <c r="D118" i="50492"/>
  <c r="D117" i="50492"/>
  <c r="C117" i="50492"/>
  <c r="C88" i="50492"/>
  <c r="C87" i="50492"/>
  <c r="D86" i="50492"/>
  <c r="D87" i="50492" s="1"/>
  <c r="D88" i="50492" s="1"/>
  <c r="C86" i="50492"/>
  <c r="D226" i="50480" a="1"/>
  <c r="D226" i="50480" s="1"/>
  <c r="D223" i="50480"/>
  <c r="E223" i="50480" s="1"/>
  <c r="D224" i="50480"/>
  <c r="D225" i="50480"/>
  <c r="E225" i="50480" s="1"/>
  <c r="D191" i="50480"/>
  <c r="E191" i="50480" s="1"/>
  <c r="D192" i="50480"/>
  <c r="E192" i="50480" s="1"/>
  <c r="D193" i="50480"/>
  <c r="F193" i="50480" s="1"/>
  <c r="D161" i="50480" a="1"/>
  <c r="D161" i="50480" s="1"/>
  <c r="D162" i="50480" a="1"/>
  <c r="D162" i="50480" s="1"/>
  <c r="D160" i="50480" a="1"/>
  <c r="D160" i="50480" s="1"/>
  <c r="V43" i="50478"/>
  <c r="V44" i="50478"/>
  <c r="V45" i="50478"/>
  <c r="V46" i="50478"/>
  <c r="V47" i="50478"/>
  <c r="V48" i="50478"/>
  <c r="V49" i="50478"/>
  <c r="V50" i="50478"/>
  <c r="V51" i="50478"/>
  <c r="V52" i="50478"/>
  <c r="V53" i="50478"/>
  <c r="V54" i="50478"/>
  <c r="V55" i="50478"/>
  <c r="V56" i="50478"/>
  <c r="V57" i="50478"/>
  <c r="V58" i="50478"/>
  <c r="D37" i="50493"/>
  <c r="D36" i="50493"/>
  <c r="D35" i="50493"/>
  <c r="D38" i="50493"/>
  <c r="D30" i="50493"/>
  <c r="C79" i="50478" s="1"/>
  <c r="D29" i="50493"/>
  <c r="C78" i="50478" s="1"/>
  <c r="D28" i="50493"/>
  <c r="C77" i="50478" s="1"/>
  <c r="D27" i="50493"/>
  <c r="C76" i="50478" s="1"/>
  <c r="D26" i="50493"/>
  <c r="C84" i="50478" s="1"/>
  <c r="E207" i="50486"/>
  <c r="E210" i="50486"/>
  <c r="D43" i="50493"/>
  <c r="D25" i="50493"/>
  <c r="C83" i="50478" s="1"/>
  <c r="D24" i="50493"/>
  <c r="C82" i="50478" s="1"/>
  <c r="D23" i="50493"/>
  <c r="C81" i="50478" s="1"/>
  <c r="D21" i="50493"/>
  <c r="C73" i="50478" s="1"/>
  <c r="D20" i="50493"/>
  <c r="D18" i="50493"/>
  <c r="C70" i="50478" s="1"/>
  <c r="D228" i="50480"/>
  <c r="E228" i="50480" s="1"/>
  <c r="D113" i="50478" l="1"/>
  <c r="C113" i="50478"/>
  <c r="E113" i="50478"/>
  <c r="E114" i="50478"/>
  <c r="D114" i="50478"/>
  <c r="C114" i="50478"/>
  <c r="C112" i="50478"/>
  <c r="E112" i="50478"/>
  <c r="D112" i="50478"/>
  <c r="D115" i="50478"/>
  <c r="E115" i="50478"/>
  <c r="C115" i="50478"/>
  <c r="D128" i="50478"/>
  <c r="C128" i="50478"/>
  <c r="E128" i="50478"/>
  <c r="E127" i="50478"/>
  <c r="D127" i="50478"/>
  <c r="C127" i="50478"/>
  <c r="C106" i="50478"/>
  <c r="D106" i="50478"/>
  <c r="E106" i="50478"/>
  <c r="E129" i="50478"/>
  <c r="D129" i="50478"/>
  <c r="C129" i="50478"/>
  <c r="C109" i="50478"/>
  <c r="D109" i="50478"/>
  <c r="E109" i="50478"/>
  <c r="C130" i="50478"/>
  <c r="D130" i="50478"/>
  <c r="E130" i="50478"/>
  <c r="C87" i="50478"/>
  <c r="D39" i="50493"/>
  <c r="E224" i="50480"/>
  <c r="F225" i="50480"/>
  <c r="F224" i="50480"/>
  <c r="F223" i="50480"/>
  <c r="F192" i="50480"/>
  <c r="E193" i="50480"/>
  <c r="F191" i="50480"/>
  <c r="E162" i="50480"/>
  <c r="F162" i="50480"/>
  <c r="E161" i="50480"/>
  <c r="F161" i="50480"/>
  <c r="F160" i="50480"/>
  <c r="E160" i="50480"/>
  <c r="F228" i="50480"/>
  <c r="D163" i="50480" a="1"/>
  <c r="D163" i="50480" s="1"/>
  <c r="E118" i="50478" l="1"/>
  <c r="D118" i="50478"/>
  <c r="C118" i="50478"/>
  <c r="C133" i="50478"/>
  <c r="C108" i="50478"/>
  <c r="D108" i="50478"/>
  <c r="E108" i="50478"/>
  <c r="E133" i="50478"/>
  <c r="D133" i="50478"/>
  <c r="E163" i="50480"/>
  <c r="F163" i="50480"/>
  <c r="D222" i="50480"/>
  <c r="F222" i="50480" s="1"/>
  <c r="D190" i="50480"/>
  <c r="F190" i="50480" s="1"/>
  <c r="D159" i="50480" a="1"/>
  <c r="D159" i="50480" s="1"/>
  <c r="E222" i="50480" l="1"/>
  <c r="E190" i="50480"/>
  <c r="F159" i="50480"/>
  <c r="E159" i="50480"/>
  <c r="G23" i="50480" l="1"/>
  <c r="G24" i="50480"/>
  <c r="G25" i="50480"/>
  <c r="G26" i="50480"/>
  <c r="G27" i="50480"/>
  <c r="G28" i="50480"/>
  <c r="E153" i="50486" l="1"/>
  <c r="F153" i="50486"/>
  <c r="G153" i="50486"/>
  <c r="G58" i="50489"/>
  <c r="F58" i="50489"/>
  <c r="E58" i="50489"/>
  <c r="J27" i="50484" l="1"/>
  <c r="G57" i="50496" l="1"/>
  <c r="F57" i="50496"/>
  <c r="E57" i="50496"/>
  <c r="E17" i="50486"/>
  <c r="E14" i="50489" l="1"/>
  <c r="D237" i="50480" a="1"/>
  <c r="D237" i="50480" s="1"/>
  <c r="D235" i="50480"/>
  <c r="D133" i="50480" a="1"/>
  <c r="D133" i="50480" s="1"/>
  <c r="D120" i="50480"/>
  <c r="H22" i="50480"/>
  <c r="D234" i="50480" l="1" a="1"/>
  <c r="D234" i="50480" s="1"/>
  <c r="E234" i="50480" s="1"/>
  <c r="D134" i="50480" a="1"/>
  <c r="D134" i="50480" s="1"/>
  <c r="D157" i="50480" a="1"/>
  <c r="D157" i="50480" s="1"/>
  <c r="D158" i="50480" a="1"/>
  <c r="D158" i="50480" s="1"/>
  <c r="F158" i="50480" s="1"/>
  <c r="D187" i="50480"/>
  <c r="F187" i="50480" s="1"/>
  <c r="D194" i="50480"/>
  <c r="F194" i="50480" s="1"/>
  <c r="D221" i="50480"/>
  <c r="F221" i="50480" s="1"/>
  <c r="F226" i="50480"/>
  <c r="D189" i="50480"/>
  <c r="F189" i="50480" s="1"/>
  <c r="D188" i="50480"/>
  <c r="E188" i="50480" s="1"/>
  <c r="E158" i="50480" l="1"/>
  <c r="E187" i="50480"/>
  <c r="E237" i="50480"/>
  <c r="F237" i="50480"/>
  <c r="E194" i="50480"/>
  <c r="E226" i="50480"/>
  <c r="E221" i="50480"/>
  <c r="E189" i="50480"/>
  <c r="F188" i="50480"/>
  <c r="R25" i="50484" l="1"/>
  <c r="Q25" i="50484"/>
  <c r="P25" i="50484"/>
  <c r="L26" i="50484"/>
  <c r="R26" i="50484" s="1"/>
  <c r="K26" i="50484"/>
  <c r="Q26" i="50484" s="1"/>
  <c r="J26" i="50484"/>
  <c r="P26" i="50484" s="1"/>
  <c r="L25" i="50484"/>
  <c r="K25" i="50484"/>
  <c r="J25" i="50484"/>
  <c r="P29" i="50484"/>
  <c r="Q29" i="50484"/>
  <c r="R29" i="50484"/>
  <c r="P30" i="50484"/>
  <c r="Q30" i="50484"/>
  <c r="R30" i="50484"/>
  <c r="P31" i="50484"/>
  <c r="Q31" i="50484"/>
  <c r="R31" i="50484"/>
  <c r="P32" i="50484"/>
  <c r="Q32" i="50484"/>
  <c r="R32" i="50484"/>
  <c r="P33" i="50484"/>
  <c r="Q33" i="50484"/>
  <c r="R33" i="50484"/>
  <c r="P34" i="50484"/>
  <c r="Q34" i="50484"/>
  <c r="R34" i="50484"/>
  <c r="P35" i="50484"/>
  <c r="Q35" i="50484"/>
  <c r="R35" i="50484"/>
  <c r="P36" i="50484"/>
  <c r="Q36" i="50484"/>
  <c r="R36" i="50484"/>
  <c r="P37" i="50484"/>
  <c r="Q37" i="50484"/>
  <c r="R37" i="50484"/>
  <c r="P38" i="50484"/>
  <c r="Q38" i="50484"/>
  <c r="R38" i="50484"/>
  <c r="P39" i="50484"/>
  <c r="Q39" i="50484"/>
  <c r="R39" i="50484"/>
  <c r="P40" i="50484"/>
  <c r="Q40" i="50484"/>
  <c r="R40" i="50484"/>
  <c r="P41" i="50484"/>
  <c r="Q41" i="50484"/>
  <c r="R41" i="50484"/>
  <c r="P43" i="50484"/>
  <c r="Q43" i="50484"/>
  <c r="R43" i="50484"/>
  <c r="P44" i="50484"/>
  <c r="Q44" i="50484"/>
  <c r="R44" i="50484"/>
  <c r="P45" i="50484"/>
  <c r="Q45" i="50484"/>
  <c r="R45" i="50484"/>
  <c r="P46" i="50484"/>
  <c r="Q46" i="50484"/>
  <c r="R46" i="50484"/>
  <c r="P47" i="50484"/>
  <c r="Q47" i="50484"/>
  <c r="R47" i="50484"/>
  <c r="P48" i="50484"/>
  <c r="Q48" i="50484"/>
  <c r="R48" i="50484"/>
  <c r="P49" i="50484"/>
  <c r="Q49" i="50484"/>
  <c r="R49" i="50484"/>
  <c r="P50" i="50484"/>
  <c r="Q50" i="50484"/>
  <c r="R50" i="50484"/>
  <c r="P51" i="50484"/>
  <c r="Q51" i="50484"/>
  <c r="R51" i="50484"/>
  <c r="P52" i="50484"/>
  <c r="Q52" i="50484"/>
  <c r="R52" i="50484"/>
  <c r="P53" i="50484"/>
  <c r="Q53" i="50484"/>
  <c r="R53" i="50484"/>
  <c r="P54" i="50484"/>
  <c r="Q54" i="50484"/>
  <c r="R54" i="50484"/>
  <c r="P55" i="50484"/>
  <c r="Q55" i="50484"/>
  <c r="R55" i="50484"/>
  <c r="P56" i="50484"/>
  <c r="Q56" i="50484"/>
  <c r="R56" i="50484"/>
  <c r="P57" i="50484"/>
  <c r="Q57" i="50484"/>
  <c r="R57" i="50484"/>
  <c r="P58" i="50484"/>
  <c r="Q58" i="50484"/>
  <c r="R58" i="50484"/>
  <c r="P59" i="50484"/>
  <c r="Q59" i="50484"/>
  <c r="R59" i="50484"/>
  <c r="P60" i="50484"/>
  <c r="Q60" i="50484"/>
  <c r="R60" i="50484"/>
  <c r="P61" i="50484"/>
  <c r="Q61" i="50484"/>
  <c r="R61" i="50484"/>
  <c r="P62" i="50484"/>
  <c r="Q62" i="50484"/>
  <c r="R62" i="50484"/>
  <c r="P63" i="50484"/>
  <c r="Q63" i="50484"/>
  <c r="R63" i="50484"/>
  <c r="J28" i="50484"/>
  <c r="P28" i="50484" s="1"/>
  <c r="E65" i="50489"/>
  <c r="F65" i="50489"/>
  <c r="G65" i="50489"/>
  <c r="E66" i="50489"/>
  <c r="F66" i="50489"/>
  <c r="G66" i="50489"/>
  <c r="E67" i="50489"/>
  <c r="F67" i="50489"/>
  <c r="G67" i="50489"/>
  <c r="E68" i="50489"/>
  <c r="F68" i="50489"/>
  <c r="G68" i="50489"/>
  <c r="E69" i="50489"/>
  <c r="F69" i="50489"/>
  <c r="G69" i="50489"/>
  <c r="E70" i="50489"/>
  <c r="F70" i="50489"/>
  <c r="G70" i="50489"/>
  <c r="E71" i="50489"/>
  <c r="F71" i="50489"/>
  <c r="G71" i="50489"/>
  <c r="E72" i="50489"/>
  <c r="F72" i="50489"/>
  <c r="G72" i="50489"/>
  <c r="E73" i="50489"/>
  <c r="F73" i="50489"/>
  <c r="G73" i="50489"/>
  <c r="E74" i="50489"/>
  <c r="F74" i="50489"/>
  <c r="G74" i="50489"/>
  <c r="E75" i="50489"/>
  <c r="F75" i="50489"/>
  <c r="G75" i="50489"/>
  <c r="E76" i="50489"/>
  <c r="F76" i="50489"/>
  <c r="G76" i="50489"/>
  <c r="E77" i="50489"/>
  <c r="F77" i="50489"/>
  <c r="G77" i="50489"/>
  <c r="E78" i="50489"/>
  <c r="F78" i="50489"/>
  <c r="G78" i="50489"/>
  <c r="E79" i="50489"/>
  <c r="F79" i="50489"/>
  <c r="G79" i="50489"/>
  <c r="E80" i="50489"/>
  <c r="F80" i="50489"/>
  <c r="G80" i="50489"/>
  <c r="E81" i="50489"/>
  <c r="F81" i="50489"/>
  <c r="G81" i="50489"/>
  <c r="E82" i="50489"/>
  <c r="F82" i="50489"/>
  <c r="G82" i="50489"/>
  <c r="E83" i="50489"/>
  <c r="F83" i="50489"/>
  <c r="G83" i="50489"/>
  <c r="E84" i="50489"/>
  <c r="F84" i="50489"/>
  <c r="G84" i="50489"/>
  <c r="E85" i="50489"/>
  <c r="F85" i="50489"/>
  <c r="G85" i="50489"/>
  <c r="E86" i="50489"/>
  <c r="F86" i="50489"/>
  <c r="G86" i="50489"/>
  <c r="E87" i="50489"/>
  <c r="F87" i="50489"/>
  <c r="G87" i="50489"/>
  <c r="E88" i="50489"/>
  <c r="F88" i="50489"/>
  <c r="G88" i="50489"/>
  <c r="E89" i="50489"/>
  <c r="F89" i="50489"/>
  <c r="G89" i="50489"/>
  <c r="E90" i="50489"/>
  <c r="F90" i="50489"/>
  <c r="G90" i="50489"/>
  <c r="E91" i="50489"/>
  <c r="F91" i="50489"/>
  <c r="G91" i="50489"/>
  <c r="E92" i="50489"/>
  <c r="F92" i="50489"/>
  <c r="G92" i="50489"/>
  <c r="E93" i="50489"/>
  <c r="F93" i="50489"/>
  <c r="G93" i="50489"/>
  <c r="E94" i="50489"/>
  <c r="F94" i="50489"/>
  <c r="G94" i="50489"/>
  <c r="E95" i="50489"/>
  <c r="F95" i="50489"/>
  <c r="G95" i="50489"/>
  <c r="E96" i="50489"/>
  <c r="F96" i="50489"/>
  <c r="G96" i="50489"/>
  <c r="E59" i="50489"/>
  <c r="F59" i="50489"/>
  <c r="G59" i="50489"/>
  <c r="E60" i="50489"/>
  <c r="F60" i="50489"/>
  <c r="G60" i="50489"/>
  <c r="E61" i="50489"/>
  <c r="F61" i="50489"/>
  <c r="G61" i="50489"/>
  <c r="E62" i="50489"/>
  <c r="F62" i="50489"/>
  <c r="G62" i="50489"/>
  <c r="E63" i="50489"/>
  <c r="F63" i="50489"/>
  <c r="G63" i="50489"/>
  <c r="G64" i="50489"/>
  <c r="F64" i="50489"/>
  <c r="E64" i="50489"/>
  <c r="C71" i="50484" l="1"/>
  <c r="B60" i="50481" l="1"/>
  <c r="B59" i="50481"/>
  <c r="B58" i="50481"/>
  <c r="B57" i="50481"/>
  <c r="B56" i="50481"/>
  <c r="B55" i="50481"/>
  <c r="B54" i="50481"/>
  <c r="B53" i="50481"/>
  <c r="B52" i="50481"/>
  <c r="B51" i="50481"/>
  <c r="B50" i="50481"/>
  <c r="B27" i="50481"/>
  <c r="B28" i="50481"/>
  <c r="B29" i="50481"/>
  <c r="B30" i="50481"/>
  <c r="B31" i="50481"/>
  <c r="B32" i="50481"/>
  <c r="B33" i="50481"/>
  <c r="B34" i="50481"/>
  <c r="B35" i="50481"/>
  <c r="B36" i="50481"/>
  <c r="B26" i="50481"/>
  <c r="D76" i="50481"/>
  <c r="B55" i="50482"/>
  <c r="B54" i="50482"/>
  <c r="B53" i="50482"/>
  <c r="B52" i="50482"/>
  <c r="B51" i="50482"/>
  <c r="B50" i="50482"/>
  <c r="B49" i="50482"/>
  <c r="B48" i="50482"/>
  <c r="B29" i="50482"/>
  <c r="B30" i="50482"/>
  <c r="B31" i="50482"/>
  <c r="B32" i="50482"/>
  <c r="B33" i="50482"/>
  <c r="B34" i="50482"/>
  <c r="B35" i="50482"/>
  <c r="B28" i="50482"/>
  <c r="B16" i="50513" l="1"/>
  <c r="B17" i="50513"/>
  <c r="B18" i="50513"/>
  <c r="B19" i="50513"/>
  <c r="B20" i="50513"/>
  <c r="B21" i="50513"/>
  <c r="B22" i="50513"/>
  <c r="B23" i="50513"/>
  <c r="B24" i="50513"/>
  <c r="B25" i="50513"/>
  <c r="B15" i="50513"/>
  <c r="H50" i="50481" l="1"/>
  <c r="G13" i="50515" l="1"/>
  <c r="B91" i="50515" s="1"/>
  <c r="G12" i="50515"/>
  <c r="D241" i="50480"/>
  <c r="D233" i="50480"/>
  <c r="E233" i="50480" s="1"/>
  <c r="E133" i="50480"/>
  <c r="P27" i="50484"/>
  <c r="K27" i="50484" l="1"/>
  <c r="Q27" i="50484" s="1"/>
  <c r="L27" i="50484"/>
  <c r="R27" i="50484" s="1"/>
  <c r="K28" i="50484"/>
  <c r="Q28" i="50484" s="1"/>
  <c r="L28" i="50484"/>
  <c r="R28" i="50484" s="1"/>
  <c r="J29" i="50484"/>
  <c r="K29" i="50484"/>
  <c r="L29" i="50484"/>
  <c r="J30" i="50484"/>
  <c r="K30" i="50484"/>
  <c r="L30" i="50484"/>
  <c r="J31" i="50484"/>
  <c r="K31" i="50484"/>
  <c r="L31" i="50484"/>
  <c r="J32" i="50484"/>
  <c r="K32" i="50484"/>
  <c r="L32" i="50484"/>
  <c r="J33" i="50484"/>
  <c r="K33" i="50484"/>
  <c r="L33" i="50484"/>
  <c r="J34" i="50484"/>
  <c r="K34" i="50484"/>
  <c r="L34" i="50484"/>
  <c r="J35" i="50484"/>
  <c r="K35" i="50484"/>
  <c r="L35" i="50484"/>
  <c r="J36" i="50484"/>
  <c r="K36" i="50484"/>
  <c r="L36" i="50484"/>
  <c r="J37" i="50484"/>
  <c r="K37" i="50484"/>
  <c r="L37" i="50484"/>
  <c r="J38" i="50484"/>
  <c r="K38" i="50484"/>
  <c r="L38" i="50484"/>
  <c r="J39" i="50484"/>
  <c r="K39" i="50484"/>
  <c r="L39" i="50484"/>
  <c r="J40" i="50484"/>
  <c r="K40" i="50484"/>
  <c r="L40" i="50484"/>
  <c r="J41" i="50484"/>
  <c r="K41" i="50484"/>
  <c r="L41" i="50484"/>
  <c r="J42" i="50484"/>
  <c r="P42" i="50484" s="1"/>
  <c r="K42" i="50484"/>
  <c r="Q42" i="50484" s="1"/>
  <c r="L42" i="50484"/>
  <c r="R42" i="50484" s="1"/>
  <c r="J43" i="50484"/>
  <c r="K43" i="50484"/>
  <c r="L43" i="50484"/>
  <c r="J44" i="50484"/>
  <c r="K44" i="50484"/>
  <c r="L44" i="50484"/>
  <c r="J45" i="50484"/>
  <c r="K45" i="50484"/>
  <c r="L45" i="50484"/>
  <c r="J46" i="50484"/>
  <c r="K46" i="50484"/>
  <c r="L46" i="50484"/>
  <c r="J47" i="50484"/>
  <c r="K47" i="50484"/>
  <c r="L47" i="50484"/>
  <c r="J48" i="50484"/>
  <c r="K48" i="50484"/>
  <c r="L48" i="50484"/>
  <c r="J49" i="50484"/>
  <c r="K49" i="50484"/>
  <c r="L49" i="50484"/>
  <c r="J50" i="50484"/>
  <c r="K50" i="50484"/>
  <c r="L50" i="50484"/>
  <c r="J51" i="50484"/>
  <c r="K51" i="50484"/>
  <c r="L51" i="50484"/>
  <c r="J52" i="50484"/>
  <c r="K52" i="50484"/>
  <c r="L52" i="50484"/>
  <c r="J53" i="50484"/>
  <c r="K53" i="50484"/>
  <c r="L53" i="50484"/>
  <c r="J54" i="50484"/>
  <c r="K54" i="50484"/>
  <c r="L54" i="50484"/>
  <c r="J55" i="50484"/>
  <c r="K55" i="50484"/>
  <c r="L55" i="50484"/>
  <c r="J56" i="50484"/>
  <c r="K56" i="50484"/>
  <c r="L56" i="50484"/>
  <c r="J57" i="50484"/>
  <c r="K57" i="50484"/>
  <c r="L57" i="50484"/>
  <c r="J58" i="50484"/>
  <c r="K58" i="50484"/>
  <c r="L58" i="50484"/>
  <c r="J59" i="50484"/>
  <c r="K59" i="50484"/>
  <c r="L59" i="50484"/>
  <c r="J60" i="50484"/>
  <c r="K60" i="50484"/>
  <c r="L60" i="50484"/>
  <c r="J61" i="50484"/>
  <c r="K61" i="50484"/>
  <c r="L61" i="50484"/>
  <c r="J62" i="50484"/>
  <c r="K62" i="50484"/>
  <c r="L62" i="50484"/>
  <c r="J63" i="50484"/>
  <c r="K63" i="50484"/>
  <c r="L63" i="50484"/>
  <c r="C77" i="50484" l="1"/>
  <c r="D135" i="50480" l="1"/>
  <c r="F72" i="50484" l="1"/>
  <c r="G72" i="50484"/>
  <c r="H72" i="50484"/>
  <c r="F73" i="50484"/>
  <c r="G73" i="50484"/>
  <c r="H73" i="50484"/>
  <c r="F74" i="50484"/>
  <c r="G74" i="50484"/>
  <c r="H74" i="50484"/>
  <c r="F75" i="50484"/>
  <c r="G75" i="50484"/>
  <c r="H75" i="50484"/>
  <c r="F76" i="50484"/>
  <c r="G76" i="50484"/>
  <c r="H76" i="50484"/>
  <c r="F77" i="50484"/>
  <c r="G77" i="50484"/>
  <c r="H77" i="50484"/>
  <c r="F78" i="50484"/>
  <c r="G78" i="50484"/>
  <c r="H78" i="50484"/>
  <c r="F79" i="50484"/>
  <c r="G79" i="50484"/>
  <c r="H79" i="50484"/>
  <c r="F80" i="50484"/>
  <c r="G80" i="50484"/>
  <c r="H80" i="50484"/>
  <c r="F81" i="50484"/>
  <c r="G81" i="50484"/>
  <c r="H81" i="50484"/>
  <c r="F82" i="50484"/>
  <c r="G82" i="50484"/>
  <c r="H82" i="50484"/>
  <c r="F83" i="50484"/>
  <c r="G83" i="50484"/>
  <c r="H83" i="50484"/>
  <c r="H71" i="50484"/>
  <c r="G71" i="50484"/>
  <c r="F71" i="50484"/>
  <c r="D72" i="50484"/>
  <c r="E72" i="50484"/>
  <c r="D73" i="50484"/>
  <c r="E73" i="50484"/>
  <c r="D74" i="50484"/>
  <c r="E74" i="50484"/>
  <c r="D75" i="50484"/>
  <c r="E75" i="50484"/>
  <c r="D76" i="50484"/>
  <c r="E76" i="50484"/>
  <c r="D77" i="50484"/>
  <c r="E77" i="50484"/>
  <c r="D78" i="50484"/>
  <c r="E78" i="50484"/>
  <c r="D79" i="50484"/>
  <c r="E79" i="50484"/>
  <c r="D80" i="50484"/>
  <c r="E80" i="50484"/>
  <c r="D81" i="50484"/>
  <c r="E81" i="50484"/>
  <c r="D82" i="50484"/>
  <c r="E82" i="50484"/>
  <c r="D83" i="50484"/>
  <c r="E83" i="50484"/>
  <c r="E71" i="50484"/>
  <c r="D71" i="50484"/>
  <c r="C72" i="50484"/>
  <c r="C73" i="50484"/>
  <c r="C74" i="50484"/>
  <c r="C75" i="50484"/>
  <c r="C76" i="50484"/>
  <c r="C78" i="50484"/>
  <c r="C79" i="50484"/>
  <c r="C80" i="50484"/>
  <c r="C81" i="50484"/>
  <c r="C82" i="50484"/>
  <c r="C83" i="50484"/>
  <c r="G27" i="50515" l="1"/>
  <c r="N20" i="50483" l="1"/>
  <c r="L20" i="50483"/>
  <c r="M21" i="50483"/>
  <c r="G14" i="50515" l="1"/>
  <c r="G15" i="50515"/>
  <c r="G16" i="50515"/>
  <c r="G17" i="50515"/>
  <c r="G18" i="50515"/>
  <c r="G19" i="50515"/>
  <c r="G20" i="50515"/>
  <c r="G21" i="50515"/>
  <c r="G22" i="50515"/>
  <c r="G23" i="50515"/>
  <c r="G24" i="50515"/>
  <c r="G25" i="50515"/>
  <c r="G26" i="50515"/>
  <c r="G28" i="50515"/>
  <c r="G29" i="50515"/>
  <c r="G30" i="50515"/>
  <c r="G31" i="50515"/>
  <c r="G32" i="50515"/>
  <c r="G33" i="50515"/>
  <c r="G34" i="50515"/>
  <c r="G35" i="50515"/>
  <c r="G36" i="50515"/>
  <c r="G37" i="50515"/>
  <c r="G38" i="50515"/>
  <c r="G39" i="50515"/>
  <c r="G40" i="50515"/>
  <c r="G41" i="50515"/>
  <c r="G42" i="50515"/>
  <c r="G43" i="50515"/>
  <c r="G44" i="50515"/>
  <c r="G45" i="50515"/>
  <c r="G46" i="50515"/>
  <c r="G47" i="50515"/>
  <c r="L23" i="50483" l="1"/>
  <c r="D16" i="50513"/>
  <c r="D17" i="50513"/>
  <c r="D18" i="50513"/>
  <c r="D19" i="50513"/>
  <c r="D20" i="50513"/>
  <c r="D21" i="50513"/>
  <c r="D22" i="50513"/>
  <c r="D23" i="50513"/>
  <c r="D24" i="50513"/>
  <c r="F29" i="50481"/>
  <c r="F30" i="50481"/>
  <c r="F31" i="50481"/>
  <c r="F32" i="50481"/>
  <c r="F33" i="50481"/>
  <c r="F34" i="50481"/>
  <c r="F35" i="50481"/>
  <c r="C307" i="50480" l="1"/>
  <c r="D307" i="50480" s="1"/>
  <c r="C308" i="50480"/>
  <c r="D308" i="50480" s="1"/>
  <c r="C309" i="50480"/>
  <c r="D309" i="50480" s="1"/>
  <c r="C306" i="50480"/>
  <c r="D306" i="50480" s="1"/>
  <c r="C304" i="50480"/>
  <c r="D304" i="50480" s="1"/>
  <c r="C305" i="50480"/>
  <c r="D305" i="50480" s="1"/>
  <c r="C303" i="50480"/>
  <c r="E303" i="50480" s="1"/>
  <c r="C301" i="50480"/>
  <c r="D301" i="50480" s="1"/>
  <c r="C302" i="50480"/>
  <c r="D302" i="50480" s="1"/>
  <c r="C300" i="50480"/>
  <c r="D300" i="50480" s="1"/>
  <c r="C297" i="50480"/>
  <c r="D297" i="50480" s="1"/>
  <c r="C298" i="50480"/>
  <c r="D298" i="50480" s="1"/>
  <c r="C299" i="50480"/>
  <c r="D299" i="50480" s="1"/>
  <c r="C296" i="50480"/>
  <c r="D296" i="50480" s="1"/>
  <c r="C294" i="50480"/>
  <c r="E294" i="50480" s="1"/>
  <c r="C295" i="50480"/>
  <c r="E295" i="50480" s="1"/>
  <c r="C293" i="50480"/>
  <c r="E293" i="50480" s="1"/>
  <c r="C290" i="50480"/>
  <c r="D290" i="50480" s="1"/>
  <c r="C291" i="50480"/>
  <c r="D291" i="50480" s="1"/>
  <c r="C292" i="50480"/>
  <c r="D292" i="50480" s="1"/>
  <c r="C289" i="50480"/>
  <c r="D289" i="50480" s="1"/>
  <c r="C284" i="50480"/>
  <c r="D284" i="50480" s="1"/>
  <c r="C288" i="50480"/>
  <c r="E288" i="50480" s="1"/>
  <c r="C283" i="50480"/>
  <c r="D283" i="50480" s="1"/>
  <c r="C282" i="50480"/>
  <c r="D282" i="50480" s="1"/>
  <c r="C278" i="50480"/>
  <c r="E278" i="50480" s="1"/>
  <c r="C277" i="50480"/>
  <c r="E277" i="50480" s="1"/>
  <c r="C276" i="50480"/>
  <c r="D276" i="50480" s="1"/>
  <c r="C275" i="50480"/>
  <c r="D275" i="50480" s="1"/>
  <c r="C274" i="50480"/>
  <c r="D274" i="50480" s="1"/>
  <c r="C273" i="50480"/>
  <c r="D273" i="50480" s="1"/>
  <c r="C272" i="50480"/>
  <c r="D272" i="50480" s="1"/>
  <c r="C271" i="50480"/>
  <c r="E271" i="50480" s="1"/>
  <c r="C270" i="50480"/>
  <c r="D294" i="50480" l="1"/>
  <c r="D288" i="50480"/>
  <c r="D278" i="50480"/>
  <c r="E309" i="50480"/>
  <c r="E301" i="50480"/>
  <c r="D303" i="50480"/>
  <c r="D295" i="50480"/>
  <c r="D271" i="50480"/>
  <c r="E302" i="50480"/>
  <c r="D293" i="50480"/>
  <c r="D277" i="50480"/>
  <c r="E308" i="50480"/>
  <c r="E300" i="50480"/>
  <c r="E292" i="50480"/>
  <c r="E284" i="50480"/>
  <c r="E276" i="50480"/>
  <c r="E307" i="50480"/>
  <c r="E299" i="50480"/>
  <c r="E291" i="50480"/>
  <c r="E283" i="50480"/>
  <c r="E275" i="50480"/>
  <c r="E306" i="50480"/>
  <c r="E298" i="50480"/>
  <c r="E290" i="50480"/>
  <c r="E274" i="50480"/>
  <c r="E305" i="50480"/>
  <c r="E297" i="50480"/>
  <c r="E289" i="50480"/>
  <c r="E273" i="50480"/>
  <c r="E304" i="50480"/>
  <c r="E296" i="50480"/>
  <c r="E282" i="50480"/>
  <c r="E272" i="50480"/>
  <c r="D127" i="50480"/>
  <c r="D126" i="50480"/>
  <c r="D121" i="50480"/>
  <c r="F121" i="50480" s="1"/>
  <c r="E315" i="50480" l="1"/>
  <c r="C13" i="50474"/>
  <c r="G48" i="50515"/>
  <c r="G49" i="50515"/>
  <c r="G50" i="50515"/>
  <c r="G51" i="50515"/>
  <c r="G52" i="50515"/>
  <c r="G53" i="50515"/>
  <c r="G54" i="50515"/>
  <c r="G55" i="50515"/>
  <c r="G56" i="50515"/>
  <c r="G57" i="50515"/>
  <c r="G58" i="50515"/>
  <c r="G59" i="50515"/>
  <c r="G60" i="50515"/>
  <c r="G61" i="50515"/>
  <c r="G62" i="50515"/>
  <c r="G63" i="50515"/>
  <c r="G64" i="50515"/>
  <c r="G65" i="50515"/>
  <c r="G66" i="50515"/>
  <c r="G67" i="50515"/>
  <c r="G68" i="50515"/>
  <c r="G69" i="50515"/>
  <c r="G70" i="50515"/>
  <c r="G71" i="50515"/>
  <c r="G72" i="50515"/>
  <c r="G73" i="50515"/>
  <c r="G74" i="50515"/>
  <c r="G75" i="50515"/>
  <c r="G76" i="50515"/>
  <c r="G77" i="50515"/>
  <c r="G78" i="50515"/>
  <c r="G79" i="50515"/>
  <c r="G80" i="50515"/>
  <c r="G81" i="50515"/>
  <c r="G82" i="50515"/>
  <c r="G83" i="50515"/>
  <c r="G84" i="50515"/>
  <c r="C12" i="50474" l="1"/>
  <c r="W6" i="50495" l="1"/>
  <c r="W3" i="50495"/>
  <c r="W4" i="50495"/>
  <c r="W5" i="50495"/>
  <c r="W2" i="50495"/>
  <c r="C15" i="50474"/>
  <c r="N7" i="50495"/>
  <c r="N3" i="50495"/>
  <c r="N4" i="50495"/>
  <c r="N5" i="50495"/>
  <c r="N6" i="50495"/>
  <c r="N2" i="50495"/>
  <c r="D198" i="50480"/>
  <c r="D212" i="50480"/>
  <c r="B95" i="50515" l="1"/>
  <c r="B96" i="50515"/>
  <c r="D262" i="50480"/>
  <c r="D128" i="50480" l="1"/>
  <c r="D123" i="50480"/>
  <c r="F120" i="50480"/>
  <c r="D266" i="50480"/>
  <c r="E266" i="50480" s="1"/>
  <c r="D265" i="50480"/>
  <c r="E265" i="50480" s="1"/>
  <c r="D264" i="50480"/>
  <c r="D263" i="50480"/>
  <c r="D261" i="50480"/>
  <c r="D260" i="50480"/>
  <c r="D259" i="50480"/>
  <c r="D258" i="50480"/>
  <c r="D257" i="50480"/>
  <c r="D256" i="50480"/>
  <c r="D255" i="50480"/>
  <c r="D254" i="50480"/>
  <c r="D253" i="50480"/>
  <c r="D251" i="50480"/>
  <c r="D250" i="50480"/>
  <c r="D249" i="50480"/>
  <c r="D248" i="50480"/>
  <c r="D247" i="50480"/>
  <c r="D246" i="50480"/>
  <c r="D252" i="50480"/>
  <c r="D244" i="50480"/>
  <c r="D242" i="50480"/>
  <c r="D243" i="50480"/>
  <c r="D245" i="50480"/>
  <c r="D164" i="50480"/>
  <c r="E164" i="50480" l="1"/>
  <c r="F164" i="50480"/>
  <c r="F133" i="50480"/>
  <c r="F233" i="50480"/>
  <c r="D240" i="50480" l="1"/>
  <c r="D238" i="50480"/>
  <c r="D229" i="50480"/>
  <c r="D227" i="50480"/>
  <c r="F227" i="50480" l="1"/>
  <c r="E227" i="50480"/>
  <c r="E229" i="50480"/>
  <c r="F229" i="50480"/>
  <c r="E238" i="50480"/>
  <c r="F238" i="50480"/>
  <c r="E240" i="50480"/>
  <c r="F240" i="50480"/>
  <c r="B92" i="50515" l="1"/>
  <c r="B94" i="50515"/>
  <c r="B93" i="50515"/>
  <c r="E270" i="50480"/>
  <c r="E256" i="50480"/>
  <c r="E262" i="50480"/>
  <c r="F263" i="50480"/>
  <c r="E264" i="50480"/>
  <c r="F265" i="50480"/>
  <c r="E261" i="50480"/>
  <c r="E257" i="50480"/>
  <c r="F258" i="50480"/>
  <c r="E259" i="50480"/>
  <c r="E260" i="50480"/>
  <c r="E255" i="50480"/>
  <c r="E252" i="50480"/>
  <c r="E253" i="50480"/>
  <c r="F254" i="50480"/>
  <c r="E251" i="50480"/>
  <c r="F247" i="50480"/>
  <c r="E248" i="50480"/>
  <c r="E249" i="50480"/>
  <c r="E250" i="50480"/>
  <c r="E246" i="50480"/>
  <c r="F242" i="50480"/>
  <c r="E243" i="50480"/>
  <c r="E244" i="50480"/>
  <c r="E245" i="50480"/>
  <c r="F241" i="50480"/>
  <c r="D239" i="50480"/>
  <c r="D236" i="50480"/>
  <c r="D99" i="50515" l="1"/>
  <c r="G61" i="50477" s="1"/>
  <c r="F239" i="50480"/>
  <c r="E239" i="50480"/>
  <c r="F235" i="50480"/>
  <c r="E235" i="50480"/>
  <c r="F236" i="50480"/>
  <c r="E236" i="50480"/>
  <c r="D270" i="50480"/>
  <c r="E263" i="50480"/>
  <c r="F261" i="50480"/>
  <c r="F249" i="50480"/>
  <c r="E247" i="50480"/>
  <c r="F264" i="50480"/>
  <c r="F255" i="50480"/>
  <c r="F248" i="50480"/>
  <c r="E241" i="50480"/>
  <c r="F251" i="50480"/>
  <c r="F266" i="50480"/>
  <c r="F262" i="50480"/>
  <c r="F250" i="50480"/>
  <c r="F246" i="50480"/>
  <c r="E258" i="50480"/>
  <c r="E254" i="50480"/>
  <c r="E242" i="50480"/>
  <c r="F257" i="50480"/>
  <c r="F253" i="50480"/>
  <c r="F245" i="50480"/>
  <c r="F260" i="50480"/>
  <c r="F256" i="50480"/>
  <c r="F252" i="50480"/>
  <c r="F244" i="50480"/>
  <c r="F259" i="50480"/>
  <c r="F243" i="50480"/>
  <c r="D211" i="50480" l="1"/>
  <c r="D213" i="50480"/>
  <c r="D214" i="50480"/>
  <c r="D215" i="50480"/>
  <c r="D216" i="50480"/>
  <c r="D217" i="50480"/>
  <c r="D218" i="50480"/>
  <c r="D219" i="50480"/>
  <c r="D220" i="50480"/>
  <c r="D179" i="50480"/>
  <c r="D180" i="50480"/>
  <c r="D181" i="50480"/>
  <c r="D182" i="50480"/>
  <c r="D183" i="50480"/>
  <c r="D184" i="50480"/>
  <c r="D185" i="50480"/>
  <c r="D186" i="50480"/>
  <c r="D149" i="50480"/>
  <c r="D150" i="50480"/>
  <c r="D151" i="50480"/>
  <c r="D152" i="50480"/>
  <c r="D153" i="50480"/>
  <c r="D154" i="50480"/>
  <c r="D155" i="50480"/>
  <c r="D156" i="50480"/>
  <c r="F218" i="50480" l="1"/>
  <c r="E218" i="50480"/>
  <c r="F152" i="50480"/>
  <c r="E152" i="50480"/>
  <c r="E180" i="50480"/>
  <c r="F180" i="50480"/>
  <c r="E155" i="50480"/>
  <c r="F155" i="50480"/>
  <c r="F179" i="50480"/>
  <c r="E179" i="50480"/>
  <c r="E213" i="50480"/>
  <c r="F213" i="50480"/>
  <c r="F154" i="50480"/>
  <c r="E154" i="50480"/>
  <c r="F150" i="50480"/>
  <c r="E150" i="50480"/>
  <c r="E186" i="50480"/>
  <c r="F186" i="50480"/>
  <c r="E182" i="50480"/>
  <c r="F182" i="50480"/>
  <c r="F220" i="50480"/>
  <c r="E220" i="50480"/>
  <c r="F216" i="50480"/>
  <c r="E216" i="50480"/>
  <c r="F212" i="50480"/>
  <c r="E212" i="50480"/>
  <c r="F156" i="50480"/>
  <c r="E156" i="50480"/>
  <c r="E184" i="50480"/>
  <c r="F184" i="50480"/>
  <c r="F214" i="50480"/>
  <c r="E214" i="50480"/>
  <c r="E151" i="50480"/>
  <c r="F151" i="50480"/>
  <c r="F183" i="50480"/>
  <c r="E183" i="50480"/>
  <c r="E217" i="50480"/>
  <c r="F217" i="50480"/>
  <c r="E157" i="50480"/>
  <c r="F157" i="50480"/>
  <c r="E153" i="50480"/>
  <c r="F153" i="50480"/>
  <c r="E149" i="50480"/>
  <c r="F149" i="50480"/>
  <c r="F185" i="50480"/>
  <c r="E185" i="50480"/>
  <c r="F181" i="50480"/>
  <c r="E181" i="50480"/>
  <c r="E219" i="50480"/>
  <c r="F219" i="50480"/>
  <c r="E215" i="50480"/>
  <c r="F215" i="50480"/>
  <c r="E211" i="50480"/>
  <c r="F211" i="50480"/>
  <c r="F234" i="50480" l="1"/>
  <c r="E43" i="50501" l="1"/>
  <c r="D12" i="50493"/>
  <c r="E58" i="50483"/>
  <c r="I20" i="50483"/>
  <c r="J20" i="50483"/>
  <c r="K20" i="50483"/>
  <c r="L21" i="50483"/>
  <c r="I21" i="50483" s="1"/>
  <c r="F85" i="50482"/>
  <c r="F86" i="50482"/>
  <c r="F87" i="50482"/>
  <c r="F88" i="50482"/>
  <c r="F89" i="50482"/>
  <c r="F90" i="50482"/>
  <c r="F91" i="50482"/>
  <c r="F92" i="50482"/>
  <c r="F93" i="50482"/>
  <c r="F94" i="50482"/>
  <c r="F95" i="50482"/>
  <c r="F96" i="50482"/>
  <c r="F97" i="50482"/>
  <c r="F98" i="50482"/>
  <c r="F99" i="50482"/>
  <c r="F100" i="50482"/>
  <c r="F101" i="50482"/>
  <c r="F102" i="50482"/>
  <c r="F103" i="50482"/>
  <c r="F104" i="50482"/>
  <c r="IV244" i="50492"/>
  <c r="D40" i="50493"/>
  <c r="D7" i="50493"/>
  <c r="D197" i="50480"/>
  <c r="D195" i="50480"/>
  <c r="D145" i="50480"/>
  <c r="D146" i="50480"/>
  <c r="D147" i="50480"/>
  <c r="D148" i="50480"/>
  <c r="D208" i="50480"/>
  <c r="D209" i="50480"/>
  <c r="D210" i="50480"/>
  <c r="D177" i="50480"/>
  <c r="D178" i="50480"/>
  <c r="D175" i="50480"/>
  <c r="D176" i="50480"/>
  <c r="D32" i="50493"/>
  <c r="D31" i="50493"/>
  <c r="D34" i="50493"/>
  <c r="D33" i="50493"/>
  <c r="D19" i="50493"/>
  <c r="C71" i="50478" s="1"/>
  <c r="F123" i="50480"/>
  <c r="F127" i="50480"/>
  <c r="I23" i="50483"/>
  <c r="E107" i="50489"/>
  <c r="E106" i="50489"/>
  <c r="D106" i="50489"/>
  <c r="F207" i="50486"/>
  <c r="E154" i="50486"/>
  <c r="E209" i="50486"/>
  <c r="D15" i="50513"/>
  <c r="D25" i="50513"/>
  <c r="H51" i="50481"/>
  <c r="H52" i="50481"/>
  <c r="H53" i="50481"/>
  <c r="H54" i="50481"/>
  <c r="H55" i="50481"/>
  <c r="H56" i="50481"/>
  <c r="H57" i="50481"/>
  <c r="H58" i="50481"/>
  <c r="H59" i="50481"/>
  <c r="H60" i="50481"/>
  <c r="F26" i="50481"/>
  <c r="F27" i="50481"/>
  <c r="F28" i="50481"/>
  <c r="F36" i="50481"/>
  <c r="K2" i="50495"/>
  <c r="K25" i="50495"/>
  <c r="K26" i="50495"/>
  <c r="K27" i="50495"/>
  <c r="K28" i="50495"/>
  <c r="K3" i="50495"/>
  <c r="K4" i="50495"/>
  <c r="K5" i="50495"/>
  <c r="K6" i="50495"/>
  <c r="K7" i="50495"/>
  <c r="K8" i="50495"/>
  <c r="K9" i="50495"/>
  <c r="K10" i="50495"/>
  <c r="K11" i="50495"/>
  <c r="K12" i="50495"/>
  <c r="K13" i="50495"/>
  <c r="K14" i="50495"/>
  <c r="K15" i="50495"/>
  <c r="K16" i="50495"/>
  <c r="K18" i="50495"/>
  <c r="K19" i="50495"/>
  <c r="K20" i="50495"/>
  <c r="K21" i="50495"/>
  <c r="K22" i="50495"/>
  <c r="K23" i="50495"/>
  <c r="K24" i="50495"/>
  <c r="Q90" i="50481"/>
  <c r="F76" i="50481"/>
  <c r="H76" i="50481" s="1"/>
  <c r="D77" i="50481"/>
  <c r="D68" i="50482"/>
  <c r="F68" i="50482" s="1"/>
  <c r="D70" i="50482"/>
  <c r="D71" i="50482"/>
  <c r="F71" i="50482" s="1"/>
  <c r="D72" i="50482"/>
  <c r="F72" i="50482" s="1"/>
  <c r="D73" i="50482"/>
  <c r="F73" i="50482" s="1"/>
  <c r="D74" i="50482"/>
  <c r="F74" i="50482" s="1"/>
  <c r="D75" i="50482"/>
  <c r="F75" i="50482" s="1"/>
  <c r="D76" i="50482"/>
  <c r="F76" i="50482" s="1"/>
  <c r="D77" i="50482"/>
  <c r="F77" i="50482" s="1"/>
  <c r="D78" i="50482"/>
  <c r="F78" i="50482" s="1"/>
  <c r="D79" i="50482"/>
  <c r="F79" i="50482" s="1"/>
  <c r="D80" i="50482"/>
  <c r="F80" i="50482" s="1"/>
  <c r="D81" i="50482"/>
  <c r="F81" i="50482" s="1"/>
  <c r="D82" i="50482"/>
  <c r="F82" i="50482" s="1"/>
  <c r="D83" i="50482"/>
  <c r="F83" i="50482" s="1"/>
  <c r="D84" i="50482"/>
  <c r="F84" i="50482" s="1"/>
  <c r="D85" i="50482"/>
  <c r="D86" i="50482"/>
  <c r="D87" i="50482"/>
  <c r="D88" i="50482"/>
  <c r="D89" i="50482"/>
  <c r="D90" i="50482"/>
  <c r="D91" i="50482"/>
  <c r="D92" i="50482"/>
  <c r="D93" i="50482"/>
  <c r="D94" i="50482"/>
  <c r="D95" i="50482"/>
  <c r="D96" i="50482"/>
  <c r="D97" i="50482"/>
  <c r="D98" i="50482"/>
  <c r="D99" i="50482"/>
  <c r="D100" i="50482"/>
  <c r="D101" i="50482"/>
  <c r="D102" i="50482"/>
  <c r="D103" i="50482"/>
  <c r="D104" i="50482"/>
  <c r="D69" i="50482"/>
  <c r="F69" i="50482" s="1"/>
  <c r="H49" i="50482"/>
  <c r="H50" i="50482"/>
  <c r="H51" i="50482"/>
  <c r="H52" i="50482"/>
  <c r="H53" i="50482"/>
  <c r="H54" i="50482"/>
  <c r="H55" i="50482"/>
  <c r="H48" i="50482"/>
  <c r="F28" i="50482"/>
  <c r="F29" i="50482"/>
  <c r="F30" i="50482"/>
  <c r="F31" i="50482"/>
  <c r="F32" i="50482"/>
  <c r="F33" i="50482"/>
  <c r="F34" i="50482"/>
  <c r="F35" i="50482"/>
  <c r="E108" i="50489"/>
  <c r="D108" i="50489"/>
  <c r="C106" i="50489"/>
  <c r="C56" i="50474"/>
  <c r="M20" i="50483"/>
  <c r="L22" i="50483"/>
  <c r="I22" i="50483" s="1"/>
  <c r="M22" i="50483"/>
  <c r="J22" i="50483" s="1"/>
  <c r="N22" i="50483"/>
  <c r="K22" i="50483" s="1"/>
  <c r="M23" i="50483"/>
  <c r="J23" i="50483" s="1"/>
  <c r="N23" i="50483"/>
  <c r="K23" i="50483" s="1"/>
  <c r="L24" i="50483"/>
  <c r="I24" i="50483" s="1"/>
  <c r="M24" i="50483"/>
  <c r="J24" i="50483" s="1"/>
  <c r="N24" i="50483"/>
  <c r="K24" i="50483" s="1"/>
  <c r="L25" i="50483"/>
  <c r="M25" i="50483"/>
  <c r="J25" i="50483" s="1"/>
  <c r="N25" i="50483"/>
  <c r="K25" i="50483" s="1"/>
  <c r="L26" i="50483"/>
  <c r="I26" i="50483" s="1"/>
  <c r="M26" i="50483"/>
  <c r="J26" i="50483" s="1"/>
  <c r="N26" i="50483"/>
  <c r="K26" i="50483" s="1"/>
  <c r="L27" i="50483"/>
  <c r="I27" i="50483" s="1"/>
  <c r="M27" i="50483"/>
  <c r="J27" i="50483" s="1"/>
  <c r="N27" i="50483"/>
  <c r="K27" i="50483" s="1"/>
  <c r="L28" i="50483"/>
  <c r="I28" i="50483" s="1"/>
  <c r="M28" i="50483"/>
  <c r="J28" i="50483" s="1"/>
  <c r="N28" i="50483"/>
  <c r="K28" i="50483" s="1"/>
  <c r="L29" i="50483"/>
  <c r="I29" i="50483" s="1"/>
  <c r="M29" i="50483"/>
  <c r="J29" i="50483" s="1"/>
  <c r="N29" i="50483"/>
  <c r="K29" i="50483" s="1"/>
  <c r="L30" i="50483"/>
  <c r="I30" i="50483" s="1"/>
  <c r="M30" i="50483"/>
  <c r="J30" i="50483" s="1"/>
  <c r="N30" i="50483"/>
  <c r="K30" i="50483" s="1"/>
  <c r="L31" i="50483"/>
  <c r="I31" i="50483" s="1"/>
  <c r="M31" i="50483"/>
  <c r="J31" i="50483" s="1"/>
  <c r="N31" i="50483"/>
  <c r="K31" i="50483" s="1"/>
  <c r="L32" i="50483"/>
  <c r="I32" i="50483" s="1"/>
  <c r="M32" i="50483"/>
  <c r="J32" i="50483" s="1"/>
  <c r="N32" i="50483"/>
  <c r="K32" i="50483" s="1"/>
  <c r="L33" i="50483"/>
  <c r="I33" i="50483" s="1"/>
  <c r="M33" i="50483"/>
  <c r="J33" i="50483" s="1"/>
  <c r="N33" i="50483"/>
  <c r="K33" i="50483" s="1"/>
  <c r="L34" i="50483"/>
  <c r="I34" i="50483" s="1"/>
  <c r="M34" i="50483"/>
  <c r="J34" i="50483" s="1"/>
  <c r="N34" i="50483"/>
  <c r="K34" i="50483" s="1"/>
  <c r="L35" i="50483"/>
  <c r="I35" i="50483" s="1"/>
  <c r="M35" i="50483"/>
  <c r="J35" i="50483" s="1"/>
  <c r="N35" i="50483"/>
  <c r="K35" i="50483" s="1"/>
  <c r="L36" i="50483"/>
  <c r="I36" i="50483" s="1"/>
  <c r="M36" i="50483"/>
  <c r="J36" i="50483" s="1"/>
  <c r="N36" i="50483"/>
  <c r="K36" i="50483" s="1"/>
  <c r="L37" i="50483"/>
  <c r="I37" i="50483" s="1"/>
  <c r="M37" i="50483"/>
  <c r="J37" i="50483" s="1"/>
  <c r="N37" i="50483"/>
  <c r="K37" i="50483" s="1"/>
  <c r="L38" i="50483"/>
  <c r="I38" i="50483" s="1"/>
  <c r="M38" i="50483"/>
  <c r="J38" i="50483" s="1"/>
  <c r="N38" i="50483"/>
  <c r="K38" i="50483" s="1"/>
  <c r="L39" i="50483"/>
  <c r="I39" i="50483" s="1"/>
  <c r="M39" i="50483"/>
  <c r="J39" i="50483" s="1"/>
  <c r="N39" i="50483"/>
  <c r="K39" i="50483" s="1"/>
  <c r="L40" i="50483"/>
  <c r="I40" i="50483" s="1"/>
  <c r="M40" i="50483"/>
  <c r="J40" i="50483" s="1"/>
  <c r="N40" i="50483"/>
  <c r="K40" i="50483" s="1"/>
  <c r="L41" i="50483"/>
  <c r="I41" i="50483" s="1"/>
  <c r="M41" i="50483"/>
  <c r="J41" i="50483" s="1"/>
  <c r="N41" i="50483"/>
  <c r="K41" i="50483" s="1"/>
  <c r="L42" i="50483"/>
  <c r="I42" i="50483" s="1"/>
  <c r="M42" i="50483"/>
  <c r="J42" i="50483" s="1"/>
  <c r="N42" i="50483"/>
  <c r="K42" i="50483" s="1"/>
  <c r="L43" i="50483"/>
  <c r="I43" i="50483" s="1"/>
  <c r="M43" i="50483"/>
  <c r="J43" i="50483" s="1"/>
  <c r="N43" i="50483"/>
  <c r="K43" i="50483" s="1"/>
  <c r="L44" i="50483"/>
  <c r="I44" i="50483" s="1"/>
  <c r="M44" i="50483"/>
  <c r="J44" i="50483" s="1"/>
  <c r="N44" i="50483"/>
  <c r="K44" i="50483" s="1"/>
  <c r="L45" i="50483"/>
  <c r="I45" i="50483" s="1"/>
  <c r="M45" i="50483"/>
  <c r="J45" i="50483" s="1"/>
  <c r="N45" i="50483"/>
  <c r="K45" i="50483" s="1"/>
  <c r="L46" i="50483"/>
  <c r="I46" i="50483" s="1"/>
  <c r="M46" i="50483"/>
  <c r="J46" i="50483" s="1"/>
  <c r="N46" i="50483"/>
  <c r="K46" i="50483" s="1"/>
  <c r="L47" i="50483"/>
  <c r="I47" i="50483" s="1"/>
  <c r="M47" i="50483"/>
  <c r="J47" i="50483" s="1"/>
  <c r="N47" i="50483"/>
  <c r="K47" i="50483" s="1"/>
  <c r="L48" i="50483"/>
  <c r="I48" i="50483" s="1"/>
  <c r="M48" i="50483"/>
  <c r="J48" i="50483" s="1"/>
  <c r="N48" i="50483"/>
  <c r="K48" i="50483" s="1"/>
  <c r="L49" i="50483"/>
  <c r="I49" i="50483" s="1"/>
  <c r="M49" i="50483"/>
  <c r="J49" i="50483" s="1"/>
  <c r="N49" i="50483"/>
  <c r="K49" i="50483" s="1"/>
  <c r="L50" i="50483"/>
  <c r="I50" i="50483" s="1"/>
  <c r="M50" i="50483"/>
  <c r="J50" i="50483" s="1"/>
  <c r="N50" i="50483"/>
  <c r="K50" i="50483" s="1"/>
  <c r="L51" i="50483"/>
  <c r="I51" i="50483" s="1"/>
  <c r="M51" i="50483"/>
  <c r="J51" i="50483" s="1"/>
  <c r="N51" i="50483"/>
  <c r="K51" i="50483" s="1"/>
  <c r="L52" i="50483"/>
  <c r="I52" i="50483" s="1"/>
  <c r="M52" i="50483"/>
  <c r="J52" i="50483" s="1"/>
  <c r="N52" i="50483"/>
  <c r="K52" i="50483" s="1"/>
  <c r="L53" i="50483"/>
  <c r="I53" i="50483" s="1"/>
  <c r="M53" i="50483"/>
  <c r="J53" i="50483" s="1"/>
  <c r="N53" i="50483"/>
  <c r="K53" i="50483" s="1"/>
  <c r="L54" i="50483"/>
  <c r="I54" i="50483" s="1"/>
  <c r="M54" i="50483"/>
  <c r="J54" i="50483" s="1"/>
  <c r="N54" i="50483"/>
  <c r="K54" i="50483" s="1"/>
  <c r="L55" i="50483"/>
  <c r="I55" i="50483" s="1"/>
  <c r="M55" i="50483"/>
  <c r="J55" i="50483" s="1"/>
  <c r="N55" i="50483"/>
  <c r="K55" i="50483" s="1"/>
  <c r="L56" i="50483"/>
  <c r="I56" i="50483" s="1"/>
  <c r="M56" i="50483"/>
  <c r="J56" i="50483" s="1"/>
  <c r="N56" i="50483"/>
  <c r="K56" i="50483" s="1"/>
  <c r="L57" i="50483"/>
  <c r="I57" i="50483" s="1"/>
  <c r="M57" i="50483"/>
  <c r="J57" i="50483" s="1"/>
  <c r="N57" i="50483"/>
  <c r="K57" i="50483" s="1"/>
  <c r="N21" i="50483"/>
  <c r="K21" i="50483" s="1"/>
  <c r="G14" i="50489"/>
  <c r="F14" i="50489"/>
  <c r="E16" i="50489"/>
  <c r="F16" i="50489"/>
  <c r="G16" i="50489"/>
  <c r="E17" i="50489"/>
  <c r="F17" i="50489"/>
  <c r="G17" i="50489"/>
  <c r="E18" i="50489"/>
  <c r="F18" i="50489"/>
  <c r="G18" i="50489"/>
  <c r="E19" i="50489"/>
  <c r="F19" i="50489"/>
  <c r="G19" i="50489"/>
  <c r="E20" i="50489"/>
  <c r="F20" i="50489"/>
  <c r="G20" i="50489"/>
  <c r="E21" i="50489"/>
  <c r="F21" i="50489"/>
  <c r="G21" i="50489"/>
  <c r="E22" i="50489"/>
  <c r="F22" i="50489"/>
  <c r="G22" i="50489"/>
  <c r="E103" i="50489" s="1"/>
  <c r="E23" i="50489"/>
  <c r="F23" i="50489"/>
  <c r="G23" i="50489"/>
  <c r="E24" i="50489"/>
  <c r="F24" i="50489"/>
  <c r="G24" i="50489"/>
  <c r="E25" i="50489"/>
  <c r="F25" i="50489"/>
  <c r="G25" i="50489"/>
  <c r="E26" i="50489"/>
  <c r="F26" i="50489"/>
  <c r="G26" i="50489"/>
  <c r="E27" i="50489"/>
  <c r="F27" i="50489"/>
  <c r="G27" i="50489"/>
  <c r="E28" i="50489"/>
  <c r="F28" i="50489"/>
  <c r="G28" i="50489"/>
  <c r="E29" i="50489"/>
  <c r="F29" i="50489"/>
  <c r="G29" i="50489"/>
  <c r="E30" i="50489"/>
  <c r="F30" i="50489"/>
  <c r="G30" i="50489"/>
  <c r="E31" i="50489"/>
  <c r="F31" i="50489"/>
  <c r="G31" i="50489"/>
  <c r="E32" i="50489"/>
  <c r="F32" i="50489"/>
  <c r="G32" i="50489"/>
  <c r="E33" i="50489"/>
  <c r="F33" i="50489"/>
  <c r="G33" i="50489"/>
  <c r="E34" i="50489"/>
  <c r="F34" i="50489"/>
  <c r="G34" i="50489"/>
  <c r="E35" i="50489"/>
  <c r="F35" i="50489"/>
  <c r="G35" i="50489"/>
  <c r="E36" i="50489"/>
  <c r="F36" i="50489"/>
  <c r="G36" i="50489"/>
  <c r="E37" i="50489"/>
  <c r="F37" i="50489"/>
  <c r="G37" i="50489"/>
  <c r="E38" i="50489"/>
  <c r="F38" i="50489"/>
  <c r="G38" i="50489"/>
  <c r="E39" i="50489"/>
  <c r="F39" i="50489"/>
  <c r="G39" i="50489"/>
  <c r="E40" i="50489"/>
  <c r="F40" i="50489"/>
  <c r="G40" i="50489"/>
  <c r="E41" i="50489"/>
  <c r="F41" i="50489"/>
  <c r="G41" i="50489"/>
  <c r="E42" i="50489"/>
  <c r="F42" i="50489"/>
  <c r="G42" i="50489"/>
  <c r="E43" i="50489"/>
  <c r="F43" i="50489"/>
  <c r="G43" i="50489"/>
  <c r="E44" i="50489"/>
  <c r="F44" i="50489"/>
  <c r="G44" i="50489"/>
  <c r="E45" i="50489"/>
  <c r="F45" i="50489"/>
  <c r="G45" i="50489"/>
  <c r="E46" i="50489"/>
  <c r="F46" i="50489"/>
  <c r="G46" i="50489"/>
  <c r="E47" i="50489"/>
  <c r="F47" i="50489"/>
  <c r="G47" i="50489"/>
  <c r="E48" i="50489"/>
  <c r="F48" i="50489"/>
  <c r="G48" i="50489"/>
  <c r="E49" i="50489"/>
  <c r="F49" i="50489"/>
  <c r="G49" i="50489"/>
  <c r="E50" i="50489"/>
  <c r="F50" i="50489"/>
  <c r="G50" i="50489"/>
  <c r="E51" i="50489"/>
  <c r="F51" i="50489"/>
  <c r="G51" i="50489"/>
  <c r="E52" i="50489"/>
  <c r="F52" i="50489"/>
  <c r="G52" i="50489"/>
  <c r="G15" i="50489"/>
  <c r="F15" i="50489"/>
  <c r="E15" i="50489"/>
  <c r="G105" i="50496"/>
  <c r="F105" i="50496"/>
  <c r="E105" i="50496"/>
  <c r="G104" i="50496"/>
  <c r="F104" i="50496"/>
  <c r="E104" i="50496"/>
  <c r="G103" i="50496"/>
  <c r="F103" i="50496"/>
  <c r="E103" i="50496"/>
  <c r="G102" i="50496"/>
  <c r="F102" i="50496"/>
  <c r="E102" i="50496"/>
  <c r="G101" i="50496"/>
  <c r="F101" i="50496"/>
  <c r="E101" i="50496"/>
  <c r="G100" i="50496"/>
  <c r="E119" i="50496" s="1"/>
  <c r="F100" i="50496"/>
  <c r="E100" i="50496"/>
  <c r="G99" i="50496"/>
  <c r="F99" i="50496"/>
  <c r="E99" i="50496"/>
  <c r="G98" i="50496"/>
  <c r="F98" i="50496"/>
  <c r="E98" i="50496"/>
  <c r="G97" i="50496"/>
  <c r="F97" i="50496"/>
  <c r="E97" i="50496"/>
  <c r="G96" i="50496"/>
  <c r="F96" i="50496"/>
  <c r="E96" i="50496"/>
  <c r="G95" i="50496"/>
  <c r="F95" i="50496"/>
  <c r="E95" i="50496"/>
  <c r="G94" i="50496"/>
  <c r="F94" i="50496"/>
  <c r="E94" i="50496"/>
  <c r="G93" i="50496"/>
  <c r="F93" i="50496"/>
  <c r="E93" i="50496"/>
  <c r="G92" i="50496"/>
  <c r="F92" i="50496"/>
  <c r="E92" i="50496"/>
  <c r="G91" i="50496"/>
  <c r="F91" i="50496"/>
  <c r="E91" i="50496"/>
  <c r="G90" i="50496"/>
  <c r="F90" i="50496"/>
  <c r="E90" i="50496"/>
  <c r="G89" i="50496"/>
  <c r="F89" i="50496"/>
  <c r="E89" i="50496"/>
  <c r="G88" i="50496"/>
  <c r="F88" i="50496"/>
  <c r="E88" i="50496"/>
  <c r="G87" i="50496"/>
  <c r="F87" i="50496"/>
  <c r="E87" i="50496"/>
  <c r="G86" i="50496"/>
  <c r="F86" i="50496"/>
  <c r="E86" i="50496"/>
  <c r="G85" i="50496"/>
  <c r="F85" i="50496"/>
  <c r="E85" i="50496"/>
  <c r="G84" i="50496"/>
  <c r="F84" i="50496"/>
  <c r="E84" i="50496"/>
  <c r="G83" i="50496"/>
  <c r="F83" i="50496"/>
  <c r="E83" i="50496"/>
  <c r="G82" i="50496"/>
  <c r="F82" i="50496"/>
  <c r="E82" i="50496"/>
  <c r="G81" i="50496"/>
  <c r="F81" i="50496"/>
  <c r="E81" i="50496"/>
  <c r="G80" i="50496"/>
  <c r="F80" i="50496"/>
  <c r="E80" i="50496"/>
  <c r="G79" i="50496"/>
  <c r="F79" i="50496"/>
  <c r="E79" i="50496"/>
  <c r="G78" i="50496"/>
  <c r="F78" i="50496"/>
  <c r="E78" i="50496"/>
  <c r="G77" i="50496"/>
  <c r="F77" i="50496"/>
  <c r="E77" i="50496"/>
  <c r="G76" i="50496"/>
  <c r="F76" i="50496"/>
  <c r="E76" i="50496"/>
  <c r="G75" i="50496"/>
  <c r="F75" i="50496"/>
  <c r="E75" i="50496"/>
  <c r="G74" i="50496"/>
  <c r="F74" i="50496"/>
  <c r="E74" i="50496"/>
  <c r="G73" i="50496"/>
  <c r="F73" i="50496"/>
  <c r="E73" i="50496"/>
  <c r="G72" i="50496"/>
  <c r="F72" i="50496"/>
  <c r="E72" i="50496"/>
  <c r="G71" i="50496"/>
  <c r="F71" i="50496"/>
  <c r="E71" i="50496"/>
  <c r="G70" i="50496"/>
  <c r="F70" i="50496"/>
  <c r="E70" i="50496"/>
  <c r="G69" i="50496"/>
  <c r="F69" i="50496"/>
  <c r="E69" i="50496"/>
  <c r="G68" i="50496"/>
  <c r="F68" i="50496"/>
  <c r="E68" i="50496"/>
  <c r="G67" i="50496"/>
  <c r="F67" i="50496"/>
  <c r="E67" i="50496"/>
  <c r="G66" i="50496"/>
  <c r="F66" i="50496"/>
  <c r="E66" i="50496"/>
  <c r="G65" i="50496"/>
  <c r="F65" i="50496"/>
  <c r="E65" i="50496"/>
  <c r="G64" i="50496"/>
  <c r="F64" i="50496"/>
  <c r="E64" i="50496"/>
  <c r="G63" i="50496"/>
  <c r="F63" i="50496"/>
  <c r="E63" i="50496"/>
  <c r="C119" i="50496" s="1"/>
  <c r="G62" i="50496"/>
  <c r="E118" i="50496" s="1"/>
  <c r="F62" i="50496"/>
  <c r="D118" i="50496" s="1"/>
  <c r="E62" i="50496"/>
  <c r="C118" i="50496" s="1"/>
  <c r="G61" i="50496"/>
  <c r="F61" i="50496"/>
  <c r="E61" i="50496"/>
  <c r="G60" i="50496"/>
  <c r="E116" i="50496" s="1"/>
  <c r="F60" i="50496"/>
  <c r="D116" i="50496" s="1"/>
  <c r="E60" i="50496"/>
  <c r="C116" i="50496" s="1"/>
  <c r="G59" i="50496"/>
  <c r="E115" i="50496" s="1"/>
  <c r="F59" i="50496"/>
  <c r="D115" i="50496" s="1"/>
  <c r="E59" i="50496"/>
  <c r="C115" i="50496" s="1"/>
  <c r="G58" i="50496"/>
  <c r="F58" i="50496"/>
  <c r="D119" i="50496" s="1"/>
  <c r="E58" i="50496"/>
  <c r="G52" i="50496"/>
  <c r="F52" i="50496"/>
  <c r="E52" i="50496"/>
  <c r="G51" i="50496"/>
  <c r="F51" i="50496"/>
  <c r="E51" i="50496"/>
  <c r="G50" i="50496"/>
  <c r="F50" i="50496"/>
  <c r="E50" i="50496"/>
  <c r="G49" i="50496"/>
  <c r="F49" i="50496"/>
  <c r="E49" i="50496"/>
  <c r="G48" i="50496"/>
  <c r="F48" i="50496"/>
  <c r="E48" i="50496"/>
  <c r="G47" i="50496"/>
  <c r="F47" i="50496"/>
  <c r="E47" i="50496"/>
  <c r="G46" i="50496"/>
  <c r="F46" i="50496"/>
  <c r="E46" i="50496"/>
  <c r="G45" i="50496"/>
  <c r="F45" i="50496"/>
  <c r="E45" i="50496"/>
  <c r="G44" i="50496"/>
  <c r="F44" i="50496"/>
  <c r="E44" i="50496"/>
  <c r="G43" i="50496"/>
  <c r="F43" i="50496"/>
  <c r="E43" i="50496"/>
  <c r="G42" i="50496"/>
  <c r="F42" i="50496"/>
  <c r="E42" i="50496"/>
  <c r="G41" i="50496"/>
  <c r="F41" i="50496"/>
  <c r="E41" i="50496"/>
  <c r="G40" i="50496"/>
  <c r="F40" i="50496"/>
  <c r="E40" i="50496"/>
  <c r="G39" i="50496"/>
  <c r="F39" i="50496"/>
  <c r="E39" i="50496"/>
  <c r="G38" i="50496"/>
  <c r="F38" i="50496"/>
  <c r="E38" i="50496"/>
  <c r="G37" i="50496"/>
  <c r="F37" i="50496"/>
  <c r="E37" i="50496"/>
  <c r="G36" i="50496"/>
  <c r="F36" i="50496"/>
  <c r="E36" i="50496"/>
  <c r="G35" i="50496"/>
  <c r="F35" i="50496"/>
  <c r="E35" i="50496"/>
  <c r="G34" i="50496"/>
  <c r="F34" i="50496"/>
  <c r="E34" i="50496"/>
  <c r="G33" i="50496"/>
  <c r="F33" i="50496"/>
  <c r="E33" i="50496"/>
  <c r="G32" i="50496"/>
  <c r="F32" i="50496"/>
  <c r="E32" i="50496"/>
  <c r="G31" i="50496"/>
  <c r="F31" i="50496"/>
  <c r="E31" i="50496"/>
  <c r="G30" i="50496"/>
  <c r="F30" i="50496"/>
  <c r="E30" i="50496"/>
  <c r="G29" i="50496"/>
  <c r="F29" i="50496"/>
  <c r="E29" i="50496"/>
  <c r="G28" i="50496"/>
  <c r="F28" i="50496"/>
  <c r="E28" i="50496"/>
  <c r="G27" i="50496"/>
  <c r="F27" i="50496"/>
  <c r="E27" i="50496"/>
  <c r="G26" i="50496"/>
  <c r="F26" i="50496"/>
  <c r="E26" i="50496"/>
  <c r="G25" i="50496"/>
  <c r="F25" i="50496"/>
  <c r="E25" i="50496"/>
  <c r="G24" i="50496"/>
  <c r="F24" i="50496"/>
  <c r="E24" i="50496"/>
  <c r="G23" i="50496"/>
  <c r="F23" i="50496"/>
  <c r="E23" i="50496"/>
  <c r="G22" i="50496"/>
  <c r="F22" i="50496"/>
  <c r="E22" i="50496"/>
  <c r="G21" i="50496"/>
  <c r="F21" i="50496"/>
  <c r="E21" i="50496"/>
  <c r="G20" i="50496"/>
  <c r="F20" i="50496"/>
  <c r="E20" i="50496"/>
  <c r="G19" i="50496"/>
  <c r="F19" i="50496"/>
  <c r="E19" i="50496"/>
  <c r="G18" i="50496"/>
  <c r="F18" i="50496"/>
  <c r="E18" i="50496"/>
  <c r="G17" i="50496"/>
  <c r="F17" i="50496"/>
  <c r="D113" i="50496" s="1"/>
  <c r="E17" i="50496"/>
  <c r="G16" i="50496"/>
  <c r="E112" i="50496" s="1"/>
  <c r="F16" i="50496"/>
  <c r="E16" i="50496"/>
  <c r="C114" i="50496" s="1"/>
  <c r="G15" i="50496"/>
  <c r="F15" i="50496"/>
  <c r="E15" i="50496"/>
  <c r="G14" i="50496"/>
  <c r="F14" i="50496"/>
  <c r="E14" i="50496"/>
  <c r="E208" i="50486"/>
  <c r="F208" i="50486"/>
  <c r="G208" i="50486"/>
  <c r="F209" i="50486"/>
  <c r="G209" i="50486"/>
  <c r="C262" i="50486"/>
  <c r="F210" i="50486"/>
  <c r="G210" i="50486"/>
  <c r="E219" i="50486"/>
  <c r="F219" i="50486"/>
  <c r="G219" i="50486"/>
  <c r="E220" i="50486"/>
  <c r="F220" i="50486"/>
  <c r="G220" i="50486"/>
  <c r="E221" i="50486"/>
  <c r="F221" i="50486"/>
  <c r="G221" i="50486"/>
  <c r="E222" i="50486"/>
  <c r="F222" i="50486"/>
  <c r="G222" i="50486"/>
  <c r="E223" i="50486"/>
  <c r="F223" i="50486"/>
  <c r="G223" i="50486"/>
  <c r="E224" i="50486"/>
  <c r="F224" i="50486"/>
  <c r="G224" i="50486"/>
  <c r="E225" i="50486"/>
  <c r="F225" i="50486"/>
  <c r="G225" i="50486"/>
  <c r="E226" i="50486"/>
  <c r="F226" i="50486"/>
  <c r="G226" i="50486"/>
  <c r="E227" i="50486"/>
  <c r="F227" i="50486"/>
  <c r="G227" i="50486"/>
  <c r="E228" i="50486"/>
  <c r="F228" i="50486"/>
  <c r="G228" i="50486"/>
  <c r="E229" i="50486"/>
  <c r="F229" i="50486"/>
  <c r="G229" i="50486"/>
  <c r="E230" i="50486"/>
  <c r="F230" i="50486"/>
  <c r="G230" i="50486"/>
  <c r="E231" i="50486"/>
  <c r="F231" i="50486"/>
  <c r="G231" i="50486"/>
  <c r="E232" i="50486"/>
  <c r="F232" i="50486"/>
  <c r="G232" i="50486"/>
  <c r="E233" i="50486"/>
  <c r="F233" i="50486"/>
  <c r="G233" i="50486"/>
  <c r="E234" i="50486"/>
  <c r="F234" i="50486"/>
  <c r="G234" i="50486"/>
  <c r="E235" i="50486"/>
  <c r="F235" i="50486"/>
  <c r="G235" i="50486"/>
  <c r="E236" i="50486"/>
  <c r="F236" i="50486"/>
  <c r="G236" i="50486"/>
  <c r="E237" i="50486"/>
  <c r="F237" i="50486"/>
  <c r="G237" i="50486"/>
  <c r="E238" i="50486"/>
  <c r="F238" i="50486"/>
  <c r="G238" i="50486"/>
  <c r="E239" i="50486"/>
  <c r="F239" i="50486"/>
  <c r="G239" i="50486"/>
  <c r="E240" i="50486"/>
  <c r="F240" i="50486"/>
  <c r="G240" i="50486"/>
  <c r="E241" i="50486"/>
  <c r="F241" i="50486"/>
  <c r="G241" i="50486"/>
  <c r="E242" i="50486"/>
  <c r="F242" i="50486"/>
  <c r="G242" i="50486"/>
  <c r="E243" i="50486"/>
  <c r="F243" i="50486"/>
  <c r="G243" i="50486"/>
  <c r="E244" i="50486"/>
  <c r="F244" i="50486"/>
  <c r="G244" i="50486"/>
  <c r="E245" i="50486"/>
  <c r="F245" i="50486"/>
  <c r="G245" i="50486"/>
  <c r="E246" i="50486"/>
  <c r="F246" i="50486"/>
  <c r="G246" i="50486"/>
  <c r="G207" i="50486"/>
  <c r="E155" i="50486"/>
  <c r="F155" i="50486"/>
  <c r="G155" i="50486"/>
  <c r="E156" i="50486"/>
  <c r="F156" i="50486"/>
  <c r="G156" i="50486"/>
  <c r="E157" i="50486"/>
  <c r="F157" i="50486"/>
  <c r="G157" i="50486"/>
  <c r="E158" i="50486"/>
  <c r="F158" i="50486"/>
  <c r="G158" i="50486"/>
  <c r="E159" i="50486"/>
  <c r="F159" i="50486"/>
  <c r="G159" i="50486"/>
  <c r="E160" i="50486"/>
  <c r="F160" i="50486"/>
  <c r="G160" i="50486"/>
  <c r="E161" i="50486"/>
  <c r="F161" i="50486"/>
  <c r="G161" i="50486"/>
  <c r="E162" i="50486"/>
  <c r="F162" i="50486"/>
  <c r="G162" i="50486"/>
  <c r="E163" i="50486"/>
  <c r="F163" i="50486"/>
  <c r="G163" i="50486"/>
  <c r="E164" i="50486"/>
  <c r="F164" i="50486"/>
  <c r="G164" i="50486"/>
  <c r="E165" i="50486"/>
  <c r="F165" i="50486"/>
  <c r="G165" i="50486"/>
  <c r="E166" i="50486"/>
  <c r="F166" i="50486"/>
  <c r="G166" i="50486"/>
  <c r="E167" i="50486"/>
  <c r="F167" i="50486"/>
  <c r="G167" i="50486"/>
  <c r="E168" i="50486"/>
  <c r="F168" i="50486"/>
  <c r="G168" i="50486"/>
  <c r="E169" i="50486"/>
  <c r="F169" i="50486"/>
  <c r="G169" i="50486"/>
  <c r="E170" i="50486"/>
  <c r="F170" i="50486"/>
  <c r="G170" i="50486"/>
  <c r="E171" i="50486"/>
  <c r="F171" i="50486"/>
  <c r="G171" i="50486"/>
  <c r="E172" i="50486"/>
  <c r="F172" i="50486"/>
  <c r="G172" i="50486"/>
  <c r="E173" i="50486"/>
  <c r="F173" i="50486"/>
  <c r="G173" i="50486"/>
  <c r="E174" i="50486"/>
  <c r="F174" i="50486"/>
  <c r="G174" i="50486"/>
  <c r="E175" i="50486"/>
  <c r="F175" i="50486"/>
  <c r="G175" i="50486"/>
  <c r="E176" i="50486"/>
  <c r="F176" i="50486"/>
  <c r="G176" i="50486"/>
  <c r="E177" i="50486"/>
  <c r="F177" i="50486"/>
  <c r="G177" i="50486"/>
  <c r="E178" i="50486"/>
  <c r="F178" i="50486"/>
  <c r="G178" i="50486"/>
  <c r="E179" i="50486"/>
  <c r="F179" i="50486"/>
  <c r="G179" i="50486"/>
  <c r="E180" i="50486"/>
  <c r="F180" i="50486"/>
  <c r="G180" i="50486"/>
  <c r="E181" i="50486"/>
  <c r="F181" i="50486"/>
  <c r="G181" i="50486"/>
  <c r="E182" i="50486"/>
  <c r="F182" i="50486"/>
  <c r="G182" i="50486"/>
  <c r="E183" i="50486"/>
  <c r="F183" i="50486"/>
  <c r="G183" i="50486"/>
  <c r="E184" i="50486"/>
  <c r="F184" i="50486"/>
  <c r="G184" i="50486"/>
  <c r="E185" i="50486"/>
  <c r="F185" i="50486"/>
  <c r="G185" i="50486"/>
  <c r="E186" i="50486"/>
  <c r="F186" i="50486"/>
  <c r="G186" i="50486"/>
  <c r="E187" i="50486"/>
  <c r="F187" i="50486"/>
  <c r="G187" i="50486"/>
  <c r="E188" i="50486"/>
  <c r="F188" i="50486"/>
  <c r="G188" i="50486"/>
  <c r="E189" i="50486"/>
  <c r="F189" i="50486"/>
  <c r="G189" i="50486"/>
  <c r="E190" i="50486"/>
  <c r="F190" i="50486"/>
  <c r="G190" i="50486"/>
  <c r="E191" i="50486"/>
  <c r="F191" i="50486"/>
  <c r="G191" i="50486"/>
  <c r="E192" i="50486"/>
  <c r="F192" i="50486"/>
  <c r="G192" i="50486"/>
  <c r="E193" i="50486"/>
  <c r="F193" i="50486"/>
  <c r="G193" i="50486"/>
  <c r="E194" i="50486"/>
  <c r="F194" i="50486"/>
  <c r="G194" i="50486"/>
  <c r="E195" i="50486"/>
  <c r="F195" i="50486"/>
  <c r="G195" i="50486"/>
  <c r="E196" i="50486"/>
  <c r="F196" i="50486"/>
  <c r="G196" i="50486"/>
  <c r="E197" i="50486"/>
  <c r="F197" i="50486"/>
  <c r="G197" i="50486"/>
  <c r="E198" i="50486"/>
  <c r="F198" i="50486"/>
  <c r="G198" i="50486"/>
  <c r="E199" i="50486"/>
  <c r="F199" i="50486"/>
  <c r="G199" i="50486"/>
  <c r="E200" i="50486"/>
  <c r="F200" i="50486"/>
  <c r="G200" i="50486"/>
  <c r="E201" i="50486"/>
  <c r="F201" i="50486"/>
  <c r="G201" i="50486"/>
  <c r="G154" i="50486"/>
  <c r="F154" i="50486"/>
  <c r="G17" i="50486"/>
  <c r="F17" i="50486"/>
  <c r="E19" i="50486"/>
  <c r="F19" i="50486"/>
  <c r="G19" i="50486"/>
  <c r="E113" i="50486"/>
  <c r="F113" i="50486"/>
  <c r="G113" i="50486"/>
  <c r="E114" i="50486"/>
  <c r="F114" i="50486"/>
  <c r="G114" i="50486"/>
  <c r="E115" i="50486"/>
  <c r="F115" i="50486"/>
  <c r="G115" i="50486"/>
  <c r="E116" i="50486"/>
  <c r="F116" i="50486"/>
  <c r="G116" i="50486"/>
  <c r="E117" i="50486"/>
  <c r="F117" i="50486"/>
  <c r="G117" i="50486"/>
  <c r="E118" i="50486"/>
  <c r="F118" i="50486"/>
  <c r="G118" i="50486"/>
  <c r="E119" i="50486"/>
  <c r="F119" i="50486"/>
  <c r="G119" i="50486"/>
  <c r="E120" i="50486"/>
  <c r="F120" i="50486"/>
  <c r="G120" i="50486"/>
  <c r="E121" i="50486"/>
  <c r="F121" i="50486"/>
  <c r="G121" i="50486"/>
  <c r="E122" i="50486"/>
  <c r="F122" i="50486"/>
  <c r="G122" i="50486"/>
  <c r="E123" i="50486"/>
  <c r="F123" i="50486"/>
  <c r="G123" i="50486"/>
  <c r="E124" i="50486"/>
  <c r="F124" i="50486"/>
  <c r="G124" i="50486"/>
  <c r="E125" i="50486"/>
  <c r="F125" i="50486"/>
  <c r="G125" i="50486"/>
  <c r="E126" i="50486"/>
  <c r="F126" i="50486"/>
  <c r="G126" i="50486"/>
  <c r="E127" i="50486"/>
  <c r="F127" i="50486"/>
  <c r="G127" i="50486"/>
  <c r="E128" i="50486"/>
  <c r="F128" i="50486"/>
  <c r="G128" i="50486"/>
  <c r="E129" i="50486"/>
  <c r="F129" i="50486"/>
  <c r="G129" i="50486"/>
  <c r="E130" i="50486"/>
  <c r="F130" i="50486"/>
  <c r="G130" i="50486"/>
  <c r="E131" i="50486"/>
  <c r="F131" i="50486"/>
  <c r="G131" i="50486"/>
  <c r="E132" i="50486"/>
  <c r="F132" i="50486"/>
  <c r="G132" i="50486"/>
  <c r="E133" i="50486"/>
  <c r="F133" i="50486"/>
  <c r="G133" i="50486"/>
  <c r="E134" i="50486"/>
  <c r="F134" i="50486"/>
  <c r="G134" i="50486"/>
  <c r="E135" i="50486"/>
  <c r="F135" i="50486"/>
  <c r="G135" i="50486"/>
  <c r="E136" i="50486"/>
  <c r="F136" i="50486"/>
  <c r="G136" i="50486"/>
  <c r="E137" i="50486"/>
  <c r="F137" i="50486"/>
  <c r="G137" i="50486"/>
  <c r="E138" i="50486"/>
  <c r="F138" i="50486"/>
  <c r="G138" i="50486"/>
  <c r="E139" i="50486"/>
  <c r="F139" i="50486"/>
  <c r="G139" i="50486"/>
  <c r="E140" i="50486"/>
  <c r="F140" i="50486"/>
  <c r="G140" i="50486"/>
  <c r="E141" i="50486"/>
  <c r="F141" i="50486"/>
  <c r="G141" i="50486"/>
  <c r="E142" i="50486"/>
  <c r="F142" i="50486"/>
  <c r="G142" i="50486"/>
  <c r="E143" i="50486"/>
  <c r="F143" i="50486"/>
  <c r="G143" i="50486"/>
  <c r="E144" i="50486"/>
  <c r="F144" i="50486"/>
  <c r="G144" i="50486"/>
  <c r="E145" i="50486"/>
  <c r="F145" i="50486"/>
  <c r="G145" i="50486"/>
  <c r="E146" i="50486"/>
  <c r="F146" i="50486"/>
  <c r="G146" i="50486"/>
  <c r="E147" i="50486"/>
  <c r="F147" i="50486"/>
  <c r="G147" i="50486"/>
  <c r="E148" i="50486"/>
  <c r="F148" i="50486"/>
  <c r="G148" i="50486"/>
  <c r="G18" i="50486"/>
  <c r="F18" i="50486"/>
  <c r="E18" i="50486"/>
  <c r="D202" i="50480"/>
  <c r="D196" i="50480"/>
  <c r="D199" i="50480"/>
  <c r="D200" i="50480"/>
  <c r="D201" i="50480"/>
  <c r="D203" i="50480"/>
  <c r="D204" i="50480"/>
  <c r="D205" i="50480"/>
  <c r="D206" i="50480"/>
  <c r="D207" i="50480"/>
  <c r="D165" i="50480"/>
  <c r="D166" i="50480"/>
  <c r="D167" i="50480"/>
  <c r="D168" i="50480"/>
  <c r="D169" i="50480"/>
  <c r="D170" i="50480"/>
  <c r="D171" i="50480"/>
  <c r="D172" i="50480"/>
  <c r="D173" i="50480"/>
  <c r="D174" i="50480"/>
  <c r="D144" i="50480"/>
  <c r="D143" i="50480"/>
  <c r="D142" i="50480"/>
  <c r="D141" i="50480"/>
  <c r="D140" i="50480"/>
  <c r="D139" i="50480"/>
  <c r="D138" i="50480"/>
  <c r="D137" i="50480"/>
  <c r="D136" i="50480"/>
  <c r="D14" i="50493"/>
  <c r="C66" i="50478" s="1"/>
  <c r="D15" i="50493"/>
  <c r="C67" i="50478" s="1"/>
  <c r="D16" i="50493"/>
  <c r="C68" i="50478" s="1"/>
  <c r="D22" i="50493"/>
  <c r="C74" i="50478" s="1"/>
  <c r="D17" i="50493"/>
  <c r="C69" i="50478" s="1"/>
  <c r="C25" i="50491"/>
  <c r="G52" i="50477" s="1"/>
  <c r="F70" i="50482"/>
  <c r="S77" i="50481"/>
  <c r="V77" i="50481"/>
  <c r="W77" i="50481"/>
  <c r="X77" i="50481"/>
  <c r="Y77" i="50481"/>
  <c r="Q78" i="50481"/>
  <c r="S78" i="50481"/>
  <c r="T78" i="50481"/>
  <c r="U78" i="50481"/>
  <c r="V78" i="50481"/>
  <c r="W78" i="50481"/>
  <c r="X78" i="50481"/>
  <c r="Y78" i="50481"/>
  <c r="Q79" i="50481"/>
  <c r="R79" i="50481"/>
  <c r="S79" i="50481"/>
  <c r="T79" i="50481"/>
  <c r="U79" i="50481"/>
  <c r="V79" i="50481"/>
  <c r="W79" i="50481"/>
  <c r="X79" i="50481"/>
  <c r="Y79" i="50481"/>
  <c r="Q80" i="50481"/>
  <c r="R80" i="50481"/>
  <c r="S80" i="50481"/>
  <c r="T80" i="50481"/>
  <c r="U80" i="50481"/>
  <c r="V80" i="50481"/>
  <c r="W80" i="50481"/>
  <c r="X80" i="50481"/>
  <c r="Y80" i="50481"/>
  <c r="Q81" i="50481"/>
  <c r="R81" i="50481"/>
  <c r="S81" i="50481"/>
  <c r="T81" i="50481"/>
  <c r="U81" i="50481"/>
  <c r="V81" i="50481"/>
  <c r="W81" i="50481"/>
  <c r="X81" i="50481"/>
  <c r="Y81" i="50481"/>
  <c r="Q82" i="50481"/>
  <c r="R82" i="50481"/>
  <c r="S82" i="50481"/>
  <c r="T82" i="50481"/>
  <c r="U82" i="50481"/>
  <c r="V82" i="50481"/>
  <c r="W82" i="50481"/>
  <c r="X82" i="50481"/>
  <c r="Y82" i="50481"/>
  <c r="Q83" i="50481"/>
  <c r="R83" i="50481"/>
  <c r="S83" i="50481"/>
  <c r="T83" i="50481"/>
  <c r="U83" i="50481"/>
  <c r="V83" i="50481"/>
  <c r="W83" i="50481"/>
  <c r="X83" i="50481"/>
  <c r="Y83" i="50481"/>
  <c r="Q84" i="50481"/>
  <c r="R84" i="50481"/>
  <c r="S84" i="50481"/>
  <c r="T84" i="50481"/>
  <c r="U84" i="50481"/>
  <c r="V84" i="50481"/>
  <c r="W84" i="50481"/>
  <c r="X84" i="50481"/>
  <c r="Y84" i="50481"/>
  <c r="Q85" i="50481"/>
  <c r="R85" i="50481"/>
  <c r="S85" i="50481"/>
  <c r="T85" i="50481"/>
  <c r="U85" i="50481"/>
  <c r="V85" i="50481"/>
  <c r="W85" i="50481"/>
  <c r="X85" i="50481"/>
  <c r="Y85" i="50481"/>
  <c r="Q86" i="50481"/>
  <c r="R86" i="50481"/>
  <c r="S86" i="50481"/>
  <c r="T86" i="50481"/>
  <c r="U86" i="50481"/>
  <c r="V86" i="50481"/>
  <c r="W86" i="50481"/>
  <c r="X86" i="50481"/>
  <c r="Y86" i="50481"/>
  <c r="Q87" i="50481"/>
  <c r="R87" i="50481"/>
  <c r="S87" i="50481"/>
  <c r="T87" i="50481"/>
  <c r="U87" i="50481"/>
  <c r="V87" i="50481"/>
  <c r="W87" i="50481"/>
  <c r="X87" i="50481"/>
  <c r="Y87" i="50481"/>
  <c r="Q88" i="50481"/>
  <c r="R88" i="50481"/>
  <c r="S88" i="50481"/>
  <c r="T88" i="50481"/>
  <c r="U88" i="50481"/>
  <c r="V88" i="50481"/>
  <c r="W88" i="50481"/>
  <c r="X88" i="50481"/>
  <c r="Y88" i="50481"/>
  <c r="Q89" i="50481"/>
  <c r="R89" i="50481"/>
  <c r="S89" i="50481"/>
  <c r="T89" i="50481"/>
  <c r="U89" i="50481"/>
  <c r="V89" i="50481"/>
  <c r="W89" i="50481"/>
  <c r="X89" i="50481"/>
  <c r="Y89" i="50481"/>
  <c r="R90" i="50481"/>
  <c r="S90" i="50481"/>
  <c r="T90" i="50481"/>
  <c r="U90" i="50481"/>
  <c r="V90" i="50481"/>
  <c r="W90" i="50481"/>
  <c r="X90" i="50481"/>
  <c r="Y90" i="50481"/>
  <c r="Q91" i="50481"/>
  <c r="R91" i="50481"/>
  <c r="S91" i="50481"/>
  <c r="T91" i="50481"/>
  <c r="U91" i="50481"/>
  <c r="V91" i="50481"/>
  <c r="W91" i="50481"/>
  <c r="X91" i="50481"/>
  <c r="Y91" i="50481"/>
  <c r="Q92" i="50481"/>
  <c r="R92" i="50481"/>
  <c r="S92" i="50481"/>
  <c r="T92" i="50481"/>
  <c r="U92" i="50481"/>
  <c r="V92" i="50481"/>
  <c r="W92" i="50481"/>
  <c r="X92" i="50481"/>
  <c r="Y92" i="50481"/>
  <c r="Q93" i="50481"/>
  <c r="R93" i="50481"/>
  <c r="S93" i="50481"/>
  <c r="T93" i="50481"/>
  <c r="U93" i="50481"/>
  <c r="V93" i="50481"/>
  <c r="W93" i="50481"/>
  <c r="X93" i="50481"/>
  <c r="Y93" i="50481"/>
  <c r="Q94" i="50481"/>
  <c r="R94" i="50481"/>
  <c r="S94" i="50481"/>
  <c r="T94" i="50481"/>
  <c r="U94" i="50481"/>
  <c r="V94" i="50481"/>
  <c r="W94" i="50481"/>
  <c r="X94" i="50481"/>
  <c r="Y94" i="50481"/>
  <c r="Q95" i="50481"/>
  <c r="R95" i="50481"/>
  <c r="S95" i="50481"/>
  <c r="T95" i="50481"/>
  <c r="U95" i="50481"/>
  <c r="V95" i="50481"/>
  <c r="W95" i="50481"/>
  <c r="X95" i="50481"/>
  <c r="Y95" i="50481"/>
  <c r="Q96" i="50481"/>
  <c r="R96" i="50481"/>
  <c r="S96" i="50481"/>
  <c r="T96" i="50481"/>
  <c r="U96" i="50481"/>
  <c r="V96" i="50481"/>
  <c r="W96" i="50481"/>
  <c r="X96" i="50481"/>
  <c r="Y96" i="50481"/>
  <c r="Q97" i="50481"/>
  <c r="R97" i="50481"/>
  <c r="S97" i="50481"/>
  <c r="T97" i="50481"/>
  <c r="U97" i="50481"/>
  <c r="V97" i="50481"/>
  <c r="W97" i="50481"/>
  <c r="X97" i="50481"/>
  <c r="Y97" i="50481"/>
  <c r="Q98" i="50481"/>
  <c r="R98" i="50481"/>
  <c r="S98" i="50481"/>
  <c r="T98" i="50481"/>
  <c r="U98" i="50481"/>
  <c r="V98" i="50481"/>
  <c r="W98" i="50481"/>
  <c r="X98" i="50481"/>
  <c r="Y98" i="50481"/>
  <c r="Q99" i="50481"/>
  <c r="R99" i="50481"/>
  <c r="S99" i="50481"/>
  <c r="T99" i="50481"/>
  <c r="U99" i="50481"/>
  <c r="V99" i="50481"/>
  <c r="W99" i="50481"/>
  <c r="X99" i="50481"/>
  <c r="Y99" i="50481"/>
  <c r="Q100" i="50481"/>
  <c r="R100" i="50481"/>
  <c r="S100" i="50481"/>
  <c r="T100" i="50481"/>
  <c r="U100" i="50481"/>
  <c r="V100" i="50481"/>
  <c r="W100" i="50481"/>
  <c r="X100" i="50481"/>
  <c r="Y100" i="50481"/>
  <c r="Q101" i="50481"/>
  <c r="R101" i="50481"/>
  <c r="S101" i="50481"/>
  <c r="T101" i="50481"/>
  <c r="U101" i="50481"/>
  <c r="V101" i="50481"/>
  <c r="W101" i="50481"/>
  <c r="X101" i="50481"/>
  <c r="Y101" i="50481"/>
  <c r="Q102" i="50481"/>
  <c r="R102" i="50481"/>
  <c r="S102" i="50481"/>
  <c r="T102" i="50481"/>
  <c r="U102" i="50481"/>
  <c r="V102" i="50481"/>
  <c r="W102" i="50481"/>
  <c r="X102" i="50481"/>
  <c r="Y102" i="50481"/>
  <c r="Q103" i="50481"/>
  <c r="R103" i="50481"/>
  <c r="S103" i="50481"/>
  <c r="T103" i="50481"/>
  <c r="U103" i="50481"/>
  <c r="V103" i="50481"/>
  <c r="W103" i="50481"/>
  <c r="X103" i="50481"/>
  <c r="Y103" i="50481"/>
  <c r="Q104" i="50481"/>
  <c r="R104" i="50481"/>
  <c r="S104" i="50481"/>
  <c r="T104" i="50481"/>
  <c r="U104" i="50481"/>
  <c r="V104" i="50481"/>
  <c r="W104" i="50481"/>
  <c r="X104" i="50481"/>
  <c r="Y104" i="50481"/>
  <c r="Q105" i="50481"/>
  <c r="R105" i="50481"/>
  <c r="S105" i="50481"/>
  <c r="T105" i="50481"/>
  <c r="U105" i="50481"/>
  <c r="V105" i="50481"/>
  <c r="W105" i="50481"/>
  <c r="X105" i="50481"/>
  <c r="Y105" i="50481"/>
  <c r="Q106" i="50481"/>
  <c r="R106" i="50481"/>
  <c r="S106" i="50481"/>
  <c r="T106" i="50481"/>
  <c r="U106" i="50481"/>
  <c r="V106" i="50481"/>
  <c r="W106" i="50481"/>
  <c r="X106" i="50481"/>
  <c r="Y106" i="50481"/>
  <c r="Q107" i="50481"/>
  <c r="R107" i="50481"/>
  <c r="S107" i="50481"/>
  <c r="T107" i="50481"/>
  <c r="U107" i="50481"/>
  <c r="V107" i="50481"/>
  <c r="W107" i="50481"/>
  <c r="X107" i="50481"/>
  <c r="Y107" i="50481"/>
  <c r="Q108" i="50481"/>
  <c r="R108" i="50481"/>
  <c r="S108" i="50481"/>
  <c r="T108" i="50481"/>
  <c r="U108" i="50481"/>
  <c r="V108" i="50481"/>
  <c r="W108" i="50481"/>
  <c r="X108" i="50481"/>
  <c r="Y108" i="50481"/>
  <c r="Q109" i="50481"/>
  <c r="R109" i="50481"/>
  <c r="S109" i="50481"/>
  <c r="T109" i="50481"/>
  <c r="U109" i="50481"/>
  <c r="V109" i="50481"/>
  <c r="W109" i="50481"/>
  <c r="X109" i="50481"/>
  <c r="Y109" i="50481"/>
  <c r="Q111" i="50481"/>
  <c r="R111" i="50481"/>
  <c r="S111" i="50481"/>
  <c r="T111" i="50481"/>
  <c r="U111" i="50481"/>
  <c r="V111" i="50481"/>
  <c r="W111" i="50481"/>
  <c r="X111" i="50481"/>
  <c r="Y111" i="50481"/>
  <c r="Q112" i="50481"/>
  <c r="R112" i="50481"/>
  <c r="S112" i="50481"/>
  <c r="T112" i="50481"/>
  <c r="U112" i="50481"/>
  <c r="V112" i="50481"/>
  <c r="W112" i="50481"/>
  <c r="X112" i="50481"/>
  <c r="Y112" i="50481"/>
  <c r="D122" i="50480"/>
  <c r="F122" i="50480" s="1"/>
  <c r="D124" i="50480"/>
  <c r="F124" i="50480" s="1"/>
  <c r="D125" i="50480"/>
  <c r="F125" i="50480" s="1"/>
  <c r="F128" i="50480"/>
  <c r="D129" i="50480"/>
  <c r="F129" i="50480" s="1"/>
  <c r="R78" i="50481"/>
  <c r="T77" i="50481"/>
  <c r="C263" i="50486" l="1"/>
  <c r="H111" i="50481"/>
  <c r="H102" i="50481"/>
  <c r="H94" i="50481"/>
  <c r="H85" i="50481"/>
  <c r="U77" i="50481"/>
  <c r="Q77" i="50481"/>
  <c r="H92" i="50481"/>
  <c r="H109" i="50481"/>
  <c r="H101" i="50481"/>
  <c r="H84" i="50481"/>
  <c r="H83" i="50481"/>
  <c r="H99" i="50481"/>
  <c r="H91" i="50481"/>
  <c r="H82" i="50481"/>
  <c r="H106" i="50481"/>
  <c r="H98" i="50481"/>
  <c r="H89" i="50481"/>
  <c r="H81" i="50481"/>
  <c r="H90" i="50481"/>
  <c r="H93" i="50481"/>
  <c r="H100" i="50481"/>
  <c r="H105" i="50481"/>
  <c r="H97" i="50481"/>
  <c r="H88" i="50481"/>
  <c r="H80" i="50481"/>
  <c r="H108" i="50481"/>
  <c r="H104" i="50481"/>
  <c r="H96" i="50481"/>
  <c r="H87" i="50481"/>
  <c r="H79" i="50481"/>
  <c r="H78" i="50481"/>
  <c r="H107" i="50481"/>
  <c r="H112" i="50481"/>
  <c r="H103" i="50481"/>
  <c r="H95" i="50481"/>
  <c r="H86" i="50481"/>
  <c r="E107" i="50478"/>
  <c r="D107" i="50478"/>
  <c r="C107" i="50478"/>
  <c r="E102" i="50478"/>
  <c r="D102" i="50478"/>
  <c r="C102" i="50478"/>
  <c r="C105" i="50478"/>
  <c r="D105" i="50478"/>
  <c r="E105" i="50478"/>
  <c r="D110" i="50478"/>
  <c r="E110" i="50478"/>
  <c r="C110" i="50478"/>
  <c r="E104" i="50478"/>
  <c r="C104" i="50478"/>
  <c r="D104" i="50478"/>
  <c r="C103" i="50478"/>
  <c r="D103" i="50478"/>
  <c r="E103" i="50478"/>
  <c r="D13" i="50493"/>
  <c r="D135" i="50478"/>
  <c r="E134" i="50478"/>
  <c r="E132" i="50478"/>
  <c r="C132" i="50478"/>
  <c r="D132" i="50478"/>
  <c r="E262" i="50486"/>
  <c r="C255" i="50486"/>
  <c r="E253" i="50486"/>
  <c r="D253" i="50486"/>
  <c r="E149" i="50486"/>
  <c r="C253" i="50486"/>
  <c r="E105" i="50489"/>
  <c r="C120" i="50496"/>
  <c r="D117" i="50496"/>
  <c r="C117" i="50496"/>
  <c r="E117" i="50496"/>
  <c r="D114" i="50496"/>
  <c r="D107" i="50489"/>
  <c r="F109" i="50482"/>
  <c r="G36" i="50477" s="1"/>
  <c r="R77" i="50481"/>
  <c r="C103" i="50489"/>
  <c r="D103" i="50489"/>
  <c r="I25" i="50483"/>
  <c r="I58" i="50483" s="1"/>
  <c r="L58" i="50483"/>
  <c r="D112" i="50496"/>
  <c r="E113" i="50496"/>
  <c r="C112" i="50496"/>
  <c r="D258" i="50486"/>
  <c r="D256" i="50486"/>
  <c r="E256" i="50486"/>
  <c r="D260" i="50486"/>
  <c r="D105" i="50489"/>
  <c r="C107" i="50489"/>
  <c r="C108" i="50489"/>
  <c r="C104" i="50489"/>
  <c r="D8" i="50493"/>
  <c r="D9" i="50493" s="1"/>
  <c r="C261" i="50486"/>
  <c r="E261" i="50486"/>
  <c r="D261" i="50486"/>
  <c r="E260" i="50486"/>
  <c r="E258" i="50486"/>
  <c r="C260" i="50486"/>
  <c r="C258" i="50486"/>
  <c r="C256" i="50486"/>
  <c r="E259" i="50486"/>
  <c r="E257" i="50486"/>
  <c r="D259" i="50486"/>
  <c r="D257" i="50486"/>
  <c r="C259" i="50486"/>
  <c r="C257" i="50486"/>
  <c r="E263" i="50486"/>
  <c r="D263" i="50486"/>
  <c r="C264" i="50486"/>
  <c r="E264" i="50486"/>
  <c r="D264" i="50486"/>
  <c r="D262" i="50486"/>
  <c r="F140" i="50480"/>
  <c r="E140" i="50480"/>
  <c r="F171" i="50480"/>
  <c r="E171" i="50480"/>
  <c r="F206" i="50480"/>
  <c r="E206" i="50480"/>
  <c r="F177" i="50480"/>
  <c r="E177" i="50480"/>
  <c r="F148" i="50480"/>
  <c r="E148" i="50480"/>
  <c r="E195" i="50480"/>
  <c r="F195" i="50480"/>
  <c r="E137" i="50480"/>
  <c r="F137" i="50480"/>
  <c r="E141" i="50480"/>
  <c r="F141" i="50480"/>
  <c r="E174" i="50480"/>
  <c r="F174" i="50480"/>
  <c r="E170" i="50480"/>
  <c r="F170" i="50480"/>
  <c r="E166" i="50480"/>
  <c r="F166" i="50480"/>
  <c r="E205" i="50480"/>
  <c r="F205" i="50480"/>
  <c r="F200" i="50480"/>
  <c r="E200" i="50480"/>
  <c r="F198" i="50480"/>
  <c r="E198" i="50480"/>
  <c r="E176" i="50480"/>
  <c r="F176" i="50480"/>
  <c r="F210" i="50480"/>
  <c r="E210" i="50480"/>
  <c r="E147" i="50480"/>
  <c r="F147" i="50480"/>
  <c r="E197" i="50480"/>
  <c r="F197" i="50480"/>
  <c r="F136" i="50480"/>
  <c r="E136" i="50480"/>
  <c r="F144" i="50480"/>
  <c r="E144" i="50480"/>
  <c r="F202" i="50480"/>
  <c r="E202" i="50480"/>
  <c r="F138" i="50480"/>
  <c r="E138" i="50480"/>
  <c r="F142" i="50480"/>
  <c r="E142" i="50480"/>
  <c r="F173" i="50480"/>
  <c r="E173" i="50480"/>
  <c r="F169" i="50480"/>
  <c r="E169" i="50480"/>
  <c r="F165" i="50480"/>
  <c r="E165" i="50480"/>
  <c r="F204" i="50480"/>
  <c r="E204" i="50480"/>
  <c r="E199" i="50480"/>
  <c r="F199" i="50480"/>
  <c r="F175" i="50480"/>
  <c r="E175" i="50480"/>
  <c r="E209" i="50480"/>
  <c r="F209" i="50480"/>
  <c r="F146" i="50480"/>
  <c r="E146" i="50480"/>
  <c r="F167" i="50480"/>
  <c r="E167" i="50480"/>
  <c r="E201" i="50480"/>
  <c r="F201" i="50480"/>
  <c r="F134" i="50480"/>
  <c r="E134" i="50480"/>
  <c r="E135" i="50480"/>
  <c r="F135" i="50480"/>
  <c r="E139" i="50480"/>
  <c r="F139" i="50480"/>
  <c r="E143" i="50480"/>
  <c r="F143" i="50480"/>
  <c r="E172" i="50480"/>
  <c r="F172" i="50480"/>
  <c r="E168" i="50480"/>
  <c r="F168" i="50480"/>
  <c r="E207" i="50480"/>
  <c r="F207" i="50480"/>
  <c r="E203" i="50480"/>
  <c r="F203" i="50480"/>
  <c r="F196" i="50480"/>
  <c r="E196" i="50480"/>
  <c r="E178" i="50480"/>
  <c r="F178" i="50480"/>
  <c r="F208" i="50480"/>
  <c r="E208" i="50480"/>
  <c r="E145" i="50480"/>
  <c r="F145" i="50480"/>
  <c r="E254" i="50486"/>
  <c r="D254" i="50486"/>
  <c r="D104" i="50489"/>
  <c r="E104" i="50489"/>
  <c r="C105" i="50489"/>
  <c r="E120" i="50496"/>
  <c r="D120" i="50496"/>
  <c r="E114" i="50496"/>
  <c r="C113" i="50496"/>
  <c r="D255" i="50486"/>
  <c r="E255" i="50486"/>
  <c r="C254" i="50486"/>
  <c r="G106" i="50496"/>
  <c r="F53" i="50489"/>
  <c r="K58" i="50483"/>
  <c r="F202" i="50486"/>
  <c r="G53" i="50489"/>
  <c r="E97" i="50489"/>
  <c r="G202" i="50486"/>
  <c r="E202" i="50486"/>
  <c r="E247" i="50486"/>
  <c r="E30" i="50513"/>
  <c r="G37" i="50477" s="1"/>
  <c r="E53" i="50489"/>
  <c r="M58" i="50483"/>
  <c r="J21" i="50483"/>
  <c r="J58" i="50483" s="1"/>
  <c r="N58" i="50483"/>
  <c r="G97" i="50489"/>
  <c r="F149" i="50486"/>
  <c r="G247" i="50486"/>
  <c r="F247" i="50486"/>
  <c r="G53" i="50496"/>
  <c r="G149" i="50486"/>
  <c r="E53" i="50496"/>
  <c r="F53" i="50496"/>
  <c r="E106" i="50496"/>
  <c r="F106" i="50496"/>
  <c r="F97" i="50489"/>
  <c r="G65" i="50477"/>
  <c r="F126" i="50480"/>
  <c r="H77" i="50481" l="1"/>
  <c r="E117" i="50478"/>
  <c r="E125" i="50478" s="1"/>
  <c r="D117" i="50478"/>
  <c r="D125" i="50478" s="1"/>
  <c r="D267" i="50486"/>
  <c r="G58" i="50477" s="1"/>
  <c r="C135" i="50478"/>
  <c r="C134" i="50478"/>
  <c r="D134" i="50478"/>
  <c r="D136" i="50478" s="1"/>
  <c r="E135" i="50478"/>
  <c r="E136" i="50478" s="1"/>
  <c r="E101" i="50489"/>
  <c r="F329" i="50481"/>
  <c r="G35" i="50477" s="1"/>
  <c r="D111" i="50489"/>
  <c r="G60" i="50477" s="1"/>
  <c r="D101" i="50489"/>
  <c r="C101" i="50489"/>
  <c r="D123" i="50496"/>
  <c r="G59" i="50477" s="1"/>
  <c r="F84" i="50484"/>
  <c r="G84" i="50484"/>
  <c r="H84" i="50484"/>
  <c r="C84" i="50484"/>
  <c r="E84" i="50484"/>
  <c r="D84" i="50484"/>
  <c r="E63" i="50483"/>
  <c r="G40" i="50477" s="1"/>
  <c r="E64" i="50483"/>
  <c r="G44" i="50477" s="1"/>
  <c r="C136" i="50478" l="1"/>
  <c r="C125" i="50478"/>
  <c r="F88" i="50484"/>
  <c r="G45" i="50477" s="1"/>
  <c r="F87" i="50484"/>
  <c r="G41" i="50477" s="1"/>
  <c r="C137" i="50478" l="1"/>
  <c r="E142" i="50478"/>
  <c r="G64" i="50477" s="1"/>
  <c r="E313" i="50480"/>
  <c r="G34" i="50477" l="1"/>
  <c r="D42" i="50493" l="1"/>
  <c r="D44" i="50493"/>
  <c r="D137" i="50478"/>
  <c r="E137" i="50478"/>
  <c r="E140" i="50478"/>
  <c r="G33" i="50477" s="1"/>
  <c r="G49" i="50477" l="1"/>
  <c r="G55" i="50477" s="1"/>
  <c r="G48" i="50477"/>
  <c r="G54" i="5047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Katie Smith</author>
    <author>Katie Eisenbrown</author>
  </authors>
  <commentList>
    <comment ref="B33" authorId="0" shapeId="0" xr:uid="{00000000-0006-0000-1200-000001000000}">
      <text>
        <r>
          <rPr>
            <sz val="8"/>
            <color indexed="81"/>
            <rFont val="Tahoma"/>
            <family val="2"/>
          </rPr>
          <t>Biomass CO2 emissions are not reported as part of steam emissions which reference this col.</t>
        </r>
      </text>
    </comment>
    <comment ref="E33" authorId="1" shapeId="0" xr:uid="{B269CAA0-8D3E-435E-8E61-C69EB0C7B957}">
      <text>
        <r>
          <rPr>
            <sz val="9"/>
            <color indexed="81"/>
            <rFont val="Tahoma"/>
            <family val="2"/>
          </rPr>
          <t>Biomass CO2 emissions are reported separately for stationary combustion which reference this col.</t>
        </r>
      </text>
    </comment>
    <comment ref="B35" authorId="0" shapeId="0" xr:uid="{004D1D52-99F2-41BA-BF5D-04E3D45EDE5D}">
      <text>
        <r>
          <rPr>
            <sz val="8"/>
            <color indexed="81"/>
            <rFont val="Tahoma"/>
            <family val="2"/>
          </rPr>
          <t>Biomass CO2 emissions are not reported as part of steam emissions which reference this col.</t>
        </r>
      </text>
    </comment>
    <comment ref="E35" authorId="1" shapeId="0" xr:uid="{14A381A5-43B6-45BC-9742-5B15439A5E83}">
      <text>
        <r>
          <rPr>
            <sz val="9"/>
            <color indexed="81"/>
            <rFont val="Tahoma"/>
            <family val="2"/>
          </rPr>
          <t>Biomass CO2 emissions are reported separately for stationary combustion which reference this col.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Smith, Katie</author>
  </authors>
  <commentList>
    <comment ref="A39" authorId="0" shapeId="0" xr:uid="{00000000-0006-0000-1C00-000001000000}">
      <text>
        <r>
          <rPr>
            <sz val="9"/>
            <color indexed="81"/>
            <rFont val="Tahoma"/>
            <family val="2"/>
          </rPr>
          <t>There are two rows for one building in order to allocate the market-based emissions to the appropriate kWh.</t>
        </r>
      </text>
    </comment>
    <comment ref="E39" authorId="0" shapeId="0" xr:uid="{00000000-0006-0000-1C00-000002000000}">
      <text>
        <r>
          <rPr>
            <sz val="9"/>
            <color indexed="81"/>
            <rFont val="Tahoma"/>
            <family val="2"/>
          </rPr>
          <t>The total kWh adds up to facility's total consumption.  Be careful not to double count kWh.</t>
        </r>
      </text>
    </comment>
    <comment ref="H42" authorId="0" shapeId="0" xr:uid="{00000000-0006-0000-1C00-000003000000}">
      <text>
        <r>
          <rPr>
            <sz val="9"/>
            <color indexed="81"/>
            <rFont val="Tahoma"/>
            <family val="2"/>
          </rPr>
          <t xml:space="preserve">Emission factors for these RECs are zero.  Depending on the instrument used, the factors may be greater than zero. </t>
        </r>
      </text>
    </comment>
    <comment ref="H43" authorId="0" shapeId="0" xr:uid="{00000000-0006-0000-1C00-000004000000}">
      <text>
        <r>
          <rPr>
            <sz val="9"/>
            <color indexed="81"/>
            <rFont val="Tahoma"/>
            <family val="2"/>
          </rPr>
          <t xml:space="preserve">No need to enter market-based emission factors in this row.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<sst xmlns="http://schemas.openxmlformats.org/spreadsheetml/2006/main" count="4540" uniqueCount="1649">
  <si>
    <t>Source Description</t>
  </si>
  <si>
    <t xml:space="preserve">                  - Select the "Type of Equipment" (closest available) and "Gas" from the drop down box.</t>
  </si>
  <si>
    <t xml:space="preserve">                  - Capacity = sum of the full capacity for all units (do not include new units pre-charged by manufacturer). </t>
  </si>
  <si>
    <t>Passenger Car</t>
  </si>
  <si>
    <t>Light-Duty Truck</t>
  </si>
  <si>
    <t>Motorcycle</t>
  </si>
  <si>
    <r>
      <t>Table 3.  Source Level Fire Suppression Gas CO</t>
    </r>
    <r>
      <rPr>
        <b/>
        <vertAlign val="subscript"/>
        <sz val="10"/>
        <rFont val="Arial"/>
        <family val="2"/>
      </rPr>
      <t>2</t>
    </r>
    <r>
      <rPr>
        <b/>
        <sz val="10"/>
        <rFont val="Arial"/>
        <family val="2"/>
      </rPr>
      <t xml:space="preserve"> Equivalent Emissions - Screening Method</t>
    </r>
  </si>
  <si>
    <t>JD-001</t>
  </si>
  <si>
    <t>John Doe 1</t>
  </si>
  <si>
    <t>Employee Business Travel</t>
  </si>
  <si>
    <t>1988-1989</t>
  </si>
  <si>
    <t>1990-1995</t>
  </si>
  <si>
    <t>1960-1982</t>
  </si>
  <si>
    <t>Usage</t>
  </si>
  <si>
    <t>Compressed Natural Gas (CNG)</t>
  </si>
  <si>
    <t>Operating</t>
  </si>
  <si>
    <t>Bldg-012</t>
  </si>
  <si>
    <t>Formula Selection for Type of Equipment</t>
  </si>
  <si>
    <t>CHOICES FOR REFRIGERANT</t>
  </si>
  <si>
    <t xml:space="preserve">CO2 </t>
  </si>
  <si>
    <t>Medium and large commercial refrigeration units (capacity 50 to 2,000 kg)</t>
  </si>
  <si>
    <t xml:space="preserve">                  - Inventory Change = difference of gas stored in inventory from beginning to end of reporting period.</t>
  </si>
  <si>
    <t xml:space="preserve">                  - Transferred Amount = gas purchased minus gas sold/disposed during reporting period.</t>
  </si>
  <si>
    <t xml:space="preserve">                    (Includes only gas stored on-site (i.e. cylinders) and not gas contained within equipment).</t>
  </si>
  <si>
    <t xml:space="preserve">                      -- Gas purchased includes:  Purchases for inventory, as part of equipment servicing (not from inventory)</t>
  </si>
  <si>
    <t xml:space="preserve">                         within purchased equipment and gas returned to the site after off-site recycling.</t>
  </si>
  <si>
    <t xml:space="preserve">                      -- Gas sold/disposed includes:  Returns to supplier, sales or disposals (including within equipment), </t>
  </si>
  <si>
    <t xml:space="preserve">                         and gas sent off-site for recycling, reclamation, or destruction.</t>
  </si>
  <si>
    <t>Gas</t>
  </si>
  <si>
    <t>Unit</t>
  </si>
  <si>
    <t xml:space="preserve">                  - Enter "Type of Equipment" (Fixed or Portable) and select "Gas Type" from the drop down box.</t>
  </si>
  <si>
    <t>Equipment</t>
  </si>
  <si>
    <t xml:space="preserve">Type of </t>
  </si>
  <si>
    <t>(Fixed/Portable)</t>
  </si>
  <si>
    <t>Fixed</t>
  </si>
  <si>
    <t xml:space="preserve">                  - Enter capacity (by gas type) for all units that operated during reporting period.</t>
  </si>
  <si>
    <t xml:space="preserve">                      -- If data entered for multiple units, sum the capacities for all units.</t>
  </si>
  <si>
    <t xml:space="preserve">                      -- For each unit added or removed during reporting period, multiply its capacity by a usage factor (0.0 to 1.0).</t>
  </si>
  <si>
    <t>Table 1.  Total Amount of Electricity Purchased by eGRID Subregion</t>
  </si>
  <si>
    <t>(kWh)</t>
  </si>
  <si>
    <r>
      <t>CO</t>
    </r>
    <r>
      <rPr>
        <b/>
        <vertAlign val="subscript"/>
        <sz val="10"/>
        <rFont val="Arial"/>
        <family val="2"/>
      </rPr>
      <t>2</t>
    </r>
    <r>
      <rPr>
        <b/>
        <sz val="10"/>
        <rFont val="Arial"/>
        <family val="2"/>
      </rPr>
      <t xml:space="preserve"> Factor</t>
    </r>
  </si>
  <si>
    <r>
      <t>CH</t>
    </r>
    <r>
      <rPr>
        <b/>
        <vertAlign val="subscript"/>
        <sz val="10"/>
        <rFont val="Arial"/>
        <family val="2"/>
      </rPr>
      <t>4</t>
    </r>
    <r>
      <rPr>
        <b/>
        <sz val="10"/>
        <rFont val="Arial"/>
        <family val="2"/>
      </rPr>
      <t xml:space="preserve"> Factor</t>
    </r>
  </si>
  <si>
    <r>
      <t>N</t>
    </r>
    <r>
      <rPr>
        <b/>
        <vertAlign val="subscript"/>
        <sz val="10"/>
        <rFont val="Arial"/>
        <family val="2"/>
      </rPr>
      <t>2</t>
    </r>
    <r>
      <rPr>
        <b/>
        <sz val="10"/>
        <rFont val="Arial"/>
        <family val="2"/>
      </rPr>
      <t>O Factor</t>
    </r>
  </si>
  <si>
    <t>AKMS (ASCC Miscellaneous)</t>
  </si>
  <si>
    <t>AKGD (ASCC Alaska Grid)</t>
  </si>
  <si>
    <t>AZNM (WECC Southwest)</t>
  </si>
  <si>
    <t>CAMX (WECC California)</t>
  </si>
  <si>
    <t>ERCT (ERCOT All)</t>
  </si>
  <si>
    <t>FRCC (FRCC All)</t>
  </si>
  <si>
    <t>HIMS (HICC Miscellaneous)</t>
  </si>
  <si>
    <t>HIOA (HICC Oahu)</t>
  </si>
  <si>
    <t>MROW (MRO West)</t>
  </si>
  <si>
    <t>NEWE (NPCC New England)</t>
  </si>
  <si>
    <t>NWPP (WECC Northwest)</t>
  </si>
  <si>
    <t>NYCW (NPCC NYC/Westchester)</t>
  </si>
  <si>
    <t>NYLI (NPCC Long Island)</t>
  </si>
  <si>
    <t>NYUP (NPCC Upstate NY)</t>
  </si>
  <si>
    <t>RFCE (RFC East)</t>
  </si>
  <si>
    <t>RFCM (RFC Michigan)</t>
  </si>
  <si>
    <t>RFCW (RFC West)</t>
  </si>
  <si>
    <t>RMPA (WECC Rockies)</t>
  </si>
  <si>
    <t>SPNO (SPP North)</t>
  </si>
  <si>
    <t>SPSO (SPP South)</t>
  </si>
  <si>
    <t>SRMV (SERC Mississippi Valley)</t>
  </si>
  <si>
    <t>SRMW (SERC Midwest)</t>
  </si>
  <si>
    <t>SRSO (SERC South)</t>
  </si>
  <si>
    <t>SRTV (SERC Tennessee Valley)</t>
  </si>
  <si>
    <t>SRVC (SERC Virginia/Carolina)</t>
  </si>
  <si>
    <t>eGRID Subregion</t>
  </si>
  <si>
    <t>Electricity</t>
  </si>
  <si>
    <t>Purchased</t>
  </si>
  <si>
    <t>Steam</t>
  </si>
  <si>
    <t>Factor</t>
  </si>
  <si>
    <t>(mmBtu)</t>
  </si>
  <si>
    <t>Boiler</t>
  </si>
  <si>
    <t>Table 1.  Fuel, Boiler, Steam and Emission Factor Data for Steam Purchased</t>
  </si>
  <si>
    <t>Total Emissions for All Sources</t>
  </si>
  <si>
    <r>
      <t>(lb CO</t>
    </r>
    <r>
      <rPr>
        <b/>
        <vertAlign val="subscript"/>
        <sz val="10"/>
        <rFont val="Arial"/>
        <family val="2"/>
      </rPr>
      <t>2</t>
    </r>
    <r>
      <rPr>
        <b/>
        <sz val="10"/>
        <rFont val="Arial"/>
        <family val="2"/>
      </rPr>
      <t>/MWh)</t>
    </r>
  </si>
  <si>
    <r>
      <t>(lb CH</t>
    </r>
    <r>
      <rPr>
        <b/>
        <vertAlign val="subscript"/>
        <sz val="10"/>
        <rFont val="Arial"/>
        <family val="2"/>
      </rPr>
      <t>4</t>
    </r>
    <r>
      <rPr>
        <b/>
        <sz val="10"/>
        <rFont val="Arial"/>
        <family val="2"/>
      </rPr>
      <t>/MWh)</t>
    </r>
  </si>
  <si>
    <r>
      <t>(lb N</t>
    </r>
    <r>
      <rPr>
        <b/>
        <vertAlign val="subscript"/>
        <sz val="10"/>
        <rFont val="Arial"/>
        <family val="2"/>
      </rPr>
      <t>2</t>
    </r>
    <r>
      <rPr>
        <b/>
        <sz val="10"/>
        <rFont val="Arial"/>
        <family val="2"/>
      </rPr>
      <t>O/MWh)</t>
    </r>
  </si>
  <si>
    <t xml:space="preserve">                  - New units are those installed during reporting period (do not include any data for new units pre-charged by</t>
  </si>
  <si>
    <t xml:space="preserve">                  - Amount recovered = total gas recovered from all retired units.</t>
  </si>
  <si>
    <t>Charge</t>
  </si>
  <si>
    <t>Recharge</t>
  </si>
  <si>
    <t>Medium/Large Commercial</t>
  </si>
  <si>
    <t>Light-Duty Truck A/C Units</t>
  </si>
  <si>
    <t>Car A/C Units</t>
  </si>
  <si>
    <t>Residential/Commercial A/C</t>
  </si>
  <si>
    <t>Stand-Alone Commercial</t>
  </si>
  <si>
    <t>Commercial chillers (default capacity 10 to 2,000 kg)</t>
  </si>
  <si>
    <t>Domestic refrigeration units (capacity 0.05 to 0.5 kg)</t>
  </si>
  <si>
    <t>Stand alone commercial applications (capacity 0.2 to 6 kg)</t>
  </si>
  <si>
    <t>Transportation refrigeration units (capacity 3 to 8 kg)</t>
  </si>
  <si>
    <t>Industrial, food processing and cold storage units (capacity 10 to 10,000 kg)</t>
  </si>
  <si>
    <t>Residential and commercial units, including heat pumps (capacity 0.5 to 100 kg)</t>
  </si>
  <si>
    <t>BLR-012</t>
  </si>
  <si>
    <r>
      <t>N</t>
    </r>
    <r>
      <rPr>
        <b/>
        <vertAlign val="subscript"/>
        <sz val="10"/>
        <rFont val="Arial"/>
        <family val="2"/>
      </rPr>
      <t>2</t>
    </r>
    <r>
      <rPr>
        <b/>
        <sz val="10"/>
        <rFont val="Arial"/>
        <family val="2"/>
      </rPr>
      <t xml:space="preserve">O </t>
    </r>
  </si>
  <si>
    <r>
      <t>CO</t>
    </r>
    <r>
      <rPr>
        <b/>
        <vertAlign val="subscript"/>
        <sz val="10"/>
        <rFont val="Arial"/>
        <family val="2"/>
      </rPr>
      <t>2</t>
    </r>
  </si>
  <si>
    <r>
      <t>Table 3.  Source Level Refrigeration Gas CO</t>
    </r>
    <r>
      <rPr>
        <b/>
        <vertAlign val="subscript"/>
        <sz val="10"/>
        <rFont val="Arial"/>
        <family val="2"/>
      </rPr>
      <t>2</t>
    </r>
    <r>
      <rPr>
        <b/>
        <sz val="10"/>
        <rFont val="Arial"/>
        <family val="2"/>
      </rPr>
      <t xml:space="preserve"> Equivalent Emissions - Screening Method</t>
    </r>
  </si>
  <si>
    <t>Change</t>
  </si>
  <si>
    <t xml:space="preserve">                  - Capacity Change = capacity of all units at beginning minus capacity of all units at end of reporting period.</t>
  </si>
  <si>
    <t>Table 1.  Mobile Source Fuel Combustion and Miles Traveled</t>
  </si>
  <si>
    <t>Traveled</t>
  </si>
  <si>
    <t>Liquefied Natural Gas (LNG)</t>
  </si>
  <si>
    <t>Diesel Buses (Diesel Heavy-Duty Vehicles)</t>
  </si>
  <si>
    <t>Inventory</t>
  </si>
  <si>
    <t>Transferred</t>
  </si>
  <si>
    <t>Amount</t>
  </si>
  <si>
    <t>Capacity</t>
  </si>
  <si>
    <r>
      <t>C</t>
    </r>
    <r>
      <rPr>
        <vertAlign val="subscript"/>
        <sz val="10"/>
        <rFont val="Arial"/>
        <family val="2"/>
      </rPr>
      <t>2</t>
    </r>
    <r>
      <rPr>
        <sz val="10"/>
        <rFont val="Arial"/>
        <family val="2"/>
      </rPr>
      <t>F</t>
    </r>
    <r>
      <rPr>
        <vertAlign val="subscript"/>
        <sz val="10"/>
        <rFont val="Arial"/>
        <family val="2"/>
      </rPr>
      <t>6</t>
    </r>
    <r>
      <rPr>
        <sz val="10"/>
        <rFont val="Arial"/>
        <family val="2"/>
      </rPr>
      <t xml:space="preserve"> </t>
    </r>
  </si>
  <si>
    <r>
      <t>SF</t>
    </r>
    <r>
      <rPr>
        <vertAlign val="subscript"/>
        <sz val="10"/>
        <rFont val="Arial"/>
        <family val="2"/>
      </rPr>
      <t>6</t>
    </r>
    <r>
      <rPr>
        <sz val="10"/>
        <rFont val="Arial"/>
        <family val="2"/>
      </rPr>
      <t xml:space="preserve"> </t>
    </r>
  </si>
  <si>
    <t>New Units</t>
  </si>
  <si>
    <t>Existing Units</t>
  </si>
  <si>
    <t>Disposed Units</t>
  </si>
  <si>
    <t>Recovered</t>
  </si>
  <si>
    <t>Disposed</t>
  </si>
  <si>
    <t>Domestic Refrigeration</t>
  </si>
  <si>
    <t>Transport Refrigeration</t>
  </si>
  <si>
    <t>Industrial Refrigeration</t>
  </si>
  <si>
    <t>Chillers</t>
  </si>
  <si>
    <t>HFC-23</t>
  </si>
  <si>
    <t>HFC-32</t>
  </si>
  <si>
    <t>HFC-125</t>
  </si>
  <si>
    <t>HFC-134a</t>
  </si>
  <si>
    <t>HFC-143a</t>
  </si>
  <si>
    <t>HFC-152a</t>
  </si>
  <si>
    <t>HFC-227ea</t>
  </si>
  <si>
    <t>HFC-236fa</t>
  </si>
  <si>
    <t>GWP</t>
  </si>
  <si>
    <t>Notes:</t>
  </si>
  <si>
    <t>Subregion</t>
  </si>
  <si>
    <t>Gasoline Passenger Cars</t>
  </si>
  <si>
    <t>Gasoline Light-Duty Trucks</t>
  </si>
  <si>
    <t>Motorcycles</t>
  </si>
  <si>
    <t>Passenger Cars</t>
  </si>
  <si>
    <t>Vehicle Type</t>
  </si>
  <si>
    <t>Combination Trucks</t>
  </si>
  <si>
    <t>Type of Equipment</t>
  </si>
  <si>
    <t>Stationary Combustion</t>
  </si>
  <si>
    <t>Mobile Sources</t>
  </si>
  <si>
    <t>Purchased and Consumed Electricity</t>
  </si>
  <si>
    <t>Purchased and Consumed Steam</t>
  </si>
  <si>
    <t>Employee Commuting</t>
  </si>
  <si>
    <t>Product Transport</t>
  </si>
  <si>
    <t>Mass</t>
  </si>
  <si>
    <t>Volume</t>
  </si>
  <si>
    <t>Energy</t>
  </si>
  <si>
    <t>Distance</t>
  </si>
  <si>
    <t>Other</t>
  </si>
  <si>
    <t>Kilo</t>
  </si>
  <si>
    <t>Mega</t>
  </si>
  <si>
    <t>Giga</t>
  </si>
  <si>
    <t>Tera</t>
  </si>
  <si>
    <t>Source</t>
  </si>
  <si>
    <t>Fuel</t>
  </si>
  <si>
    <t>Quantity</t>
  </si>
  <si>
    <t>ID</t>
  </si>
  <si>
    <t>Description</t>
  </si>
  <si>
    <t>Combusted</t>
  </si>
  <si>
    <t>Units</t>
  </si>
  <si>
    <t>East Power Plant</t>
  </si>
  <si>
    <t>Fuel Type</t>
  </si>
  <si>
    <t>Anthracite Coal</t>
  </si>
  <si>
    <t>Bituminous Coal</t>
  </si>
  <si>
    <t>Sub-bituminous Coal</t>
  </si>
  <si>
    <t>Lignite Coal</t>
  </si>
  <si>
    <t>Natural Gas</t>
  </si>
  <si>
    <t>scf</t>
  </si>
  <si>
    <t>gallons</t>
  </si>
  <si>
    <t>Kerosene</t>
  </si>
  <si>
    <r>
      <t>CO</t>
    </r>
    <r>
      <rPr>
        <b/>
        <vertAlign val="subscript"/>
        <sz val="10"/>
        <rFont val="Arial"/>
        <family val="2"/>
      </rPr>
      <t>2</t>
    </r>
    <r>
      <rPr>
        <b/>
        <sz val="10"/>
        <rFont val="Arial"/>
        <family val="2"/>
      </rPr>
      <t xml:space="preserve"> </t>
    </r>
  </si>
  <si>
    <r>
      <t>CH</t>
    </r>
    <r>
      <rPr>
        <b/>
        <vertAlign val="subscript"/>
        <sz val="10"/>
        <rFont val="Arial"/>
        <family val="2"/>
      </rPr>
      <t>4</t>
    </r>
    <r>
      <rPr>
        <b/>
        <sz val="10"/>
        <rFont val="Arial"/>
        <family val="2"/>
      </rPr>
      <t xml:space="preserve"> </t>
    </r>
  </si>
  <si>
    <r>
      <t>N</t>
    </r>
    <r>
      <rPr>
        <b/>
        <vertAlign val="subscript"/>
        <sz val="10"/>
        <rFont val="Arial"/>
        <family val="2"/>
      </rPr>
      <t>2</t>
    </r>
    <r>
      <rPr>
        <b/>
        <sz val="10"/>
        <rFont val="Arial"/>
        <family val="2"/>
      </rPr>
      <t>O</t>
    </r>
  </si>
  <si>
    <t>Emissions</t>
  </si>
  <si>
    <t>(kg)</t>
  </si>
  <si>
    <t>(g)</t>
  </si>
  <si>
    <t>Total Emissions for all Fuels</t>
  </si>
  <si>
    <t>Table 1.  Stationary Source Fuel Combustion</t>
  </si>
  <si>
    <t>Carbon</t>
  </si>
  <si>
    <t>Weight</t>
  </si>
  <si>
    <t>(%)</t>
  </si>
  <si>
    <t>(lb)</t>
  </si>
  <si>
    <r>
      <t>CO</t>
    </r>
    <r>
      <rPr>
        <vertAlign val="subscript"/>
        <sz val="10"/>
        <rFont val="Arial"/>
        <family val="2"/>
      </rPr>
      <t>2</t>
    </r>
    <r>
      <rPr>
        <sz val="10"/>
        <rFont val="Arial"/>
        <family val="2"/>
      </rPr>
      <t xml:space="preserve"> </t>
    </r>
  </si>
  <si>
    <t>Ethanol</t>
  </si>
  <si>
    <t>%</t>
  </si>
  <si>
    <t>Fuel Usage</t>
  </si>
  <si>
    <t>Motor Gasoline</t>
  </si>
  <si>
    <t>Diesel Fuel</t>
  </si>
  <si>
    <t>Vehicle</t>
  </si>
  <si>
    <t>(Vans, Pickup Trucks, SUVs)</t>
  </si>
  <si>
    <t>Gasoline Heavy-Duty Vehicles</t>
  </si>
  <si>
    <t>Type</t>
  </si>
  <si>
    <t>Year</t>
  </si>
  <si>
    <t>Miles</t>
  </si>
  <si>
    <t>Steam-Blr Room</t>
  </si>
  <si>
    <t>Commuter Rail</t>
  </si>
  <si>
    <t>Transit Rail (i.e. Subway, Tram)</t>
  </si>
  <si>
    <t>Fleet-012</t>
  </si>
  <si>
    <t>HQ Fleet</t>
  </si>
  <si>
    <t>Portable</t>
  </si>
  <si>
    <t>Name of Preparer:</t>
  </si>
  <si>
    <t>Phone Number of Preparer:</t>
  </si>
  <si>
    <t>Date Prepared:</t>
  </si>
  <si>
    <t>Molecular Weigh of C</t>
  </si>
  <si>
    <r>
      <t>Molecular Weight of CO</t>
    </r>
    <r>
      <rPr>
        <vertAlign val="subscript"/>
        <sz val="10"/>
        <rFont val="Arial"/>
        <family val="2"/>
      </rPr>
      <t>2</t>
    </r>
    <r>
      <rPr>
        <sz val="10"/>
        <rFont val="Arial"/>
        <family val="2"/>
      </rPr>
      <t xml:space="preserve"> </t>
    </r>
  </si>
  <si>
    <t>Aircraft</t>
  </si>
  <si>
    <t>Waterborne Craft</t>
  </si>
  <si>
    <t>Passenger car A/C units (capacity 0.5 kg)</t>
  </si>
  <si>
    <t>Light-duty truck A/C units (capacity 1.5 kg)</t>
  </si>
  <si>
    <t>Total Fossil Fuel Emissions</t>
  </si>
  <si>
    <t>Total Non-Fossil Fuel Emissions</t>
  </si>
  <si>
    <t>MROE (MRO East)</t>
  </si>
  <si>
    <t>Forestry Project</t>
  </si>
  <si>
    <t>Trees</t>
  </si>
  <si>
    <t>Table 1.  Total Amount of Purchased Offsets</t>
  </si>
  <si>
    <t>Required Supplemental Information</t>
  </si>
  <si>
    <t>Offsets</t>
  </si>
  <si>
    <t xml:space="preserve">Convert From </t>
  </si>
  <si>
    <t>Convert To</t>
  </si>
  <si>
    <t>Multiply By</t>
  </si>
  <si>
    <t>mmBtu</t>
  </si>
  <si>
    <t>Short ton</t>
  </si>
  <si>
    <t>short tons</t>
  </si>
  <si>
    <t>Reductions</t>
  </si>
  <si>
    <r>
      <t>CH</t>
    </r>
    <r>
      <rPr>
        <vertAlign val="subscript"/>
        <sz val="10"/>
        <rFont val="Arial"/>
        <family val="2"/>
      </rPr>
      <t>4</t>
    </r>
  </si>
  <si>
    <t>short ton / mmBtu</t>
  </si>
  <si>
    <t>therm</t>
  </si>
  <si>
    <t>ccf</t>
  </si>
  <si>
    <t>Mcf</t>
  </si>
  <si>
    <t>cubic meter</t>
  </si>
  <si>
    <t>kWh</t>
  </si>
  <si>
    <t>scf / mmBtu</t>
  </si>
  <si>
    <t>scf / Dth</t>
  </si>
  <si>
    <t>scf / therm</t>
  </si>
  <si>
    <t>scf / ccf</t>
  </si>
  <si>
    <t>scf / Mcf</t>
  </si>
  <si>
    <t>scf / cubic meter</t>
  </si>
  <si>
    <t>scf / kWh</t>
  </si>
  <si>
    <t>gallon</t>
  </si>
  <si>
    <t>gallon / mmBtu</t>
  </si>
  <si>
    <t>Fire Suppression Equipment</t>
  </si>
  <si>
    <t>Fire Suppression Gas</t>
  </si>
  <si>
    <t>Steam Fuel Type</t>
  </si>
  <si>
    <t>short ton</t>
  </si>
  <si>
    <t>mmBtu / short ton</t>
  </si>
  <si>
    <t>mmBtu / Mlb</t>
  </si>
  <si>
    <t xml:space="preserve"> </t>
  </si>
  <si>
    <t>Bldg-011</t>
  </si>
  <si>
    <t xml:space="preserve">Office </t>
  </si>
  <si>
    <t>TYPE OF REFRIGERATION EQUIPMENT</t>
  </si>
  <si>
    <r>
      <t>CH</t>
    </r>
    <r>
      <rPr>
        <b/>
        <vertAlign val="subscript"/>
        <sz val="10"/>
        <rFont val="Arial"/>
        <family val="2"/>
      </rPr>
      <t>4</t>
    </r>
    <r>
      <rPr>
        <b/>
        <sz val="10"/>
        <rFont val="Arial"/>
        <family val="2"/>
      </rPr>
      <t xml:space="preserve"> Factor 
(g / mmBtu)</t>
    </r>
  </si>
  <si>
    <r>
      <t>N</t>
    </r>
    <r>
      <rPr>
        <b/>
        <vertAlign val="subscript"/>
        <sz val="10"/>
        <rFont val="Arial"/>
        <family val="2"/>
      </rPr>
      <t>2</t>
    </r>
    <r>
      <rPr>
        <b/>
        <sz val="10"/>
        <rFont val="Arial"/>
        <family val="2"/>
      </rPr>
      <t>O Factor 
(g / mmBtu)</t>
    </r>
  </si>
  <si>
    <t>Vehicle Year</t>
  </si>
  <si>
    <t>Mileage (miles)</t>
  </si>
  <si>
    <r>
      <t>CH</t>
    </r>
    <r>
      <rPr>
        <b/>
        <vertAlign val="subscript"/>
        <sz val="10"/>
        <rFont val="Arial"/>
        <family val="2"/>
      </rPr>
      <t xml:space="preserve">4 </t>
    </r>
    <r>
      <rPr>
        <b/>
        <sz val="10"/>
        <rFont val="Arial"/>
        <family val="2"/>
      </rPr>
      <t>(g)</t>
    </r>
  </si>
  <si>
    <r>
      <t>N</t>
    </r>
    <r>
      <rPr>
        <b/>
        <vertAlign val="subscript"/>
        <sz val="10"/>
        <rFont val="Arial"/>
        <family val="2"/>
      </rPr>
      <t>2</t>
    </r>
    <r>
      <rPr>
        <b/>
        <sz val="10"/>
        <rFont val="Arial"/>
        <family val="2"/>
      </rPr>
      <t>O (g)</t>
    </r>
  </si>
  <si>
    <r>
      <t>CO</t>
    </r>
    <r>
      <rPr>
        <b/>
        <vertAlign val="subscript"/>
        <sz val="10"/>
        <rFont val="Arial"/>
        <family val="2"/>
      </rPr>
      <t>2</t>
    </r>
    <r>
      <rPr>
        <b/>
        <sz val="10"/>
        <rFont val="Arial"/>
        <family val="2"/>
      </rPr>
      <t xml:space="preserve"> Emissions for Road Vehicles</t>
    </r>
  </si>
  <si>
    <r>
      <t>CH</t>
    </r>
    <r>
      <rPr>
        <b/>
        <vertAlign val="subscript"/>
        <sz val="10"/>
        <rFont val="Arial"/>
        <family val="2"/>
      </rPr>
      <t>4</t>
    </r>
    <r>
      <rPr>
        <b/>
        <sz val="10"/>
        <rFont val="Arial"/>
        <family val="2"/>
      </rPr>
      <t xml:space="preserve"> Factor 
(g / mile)</t>
    </r>
  </si>
  <si>
    <r>
      <t>N</t>
    </r>
    <r>
      <rPr>
        <b/>
        <vertAlign val="subscript"/>
        <sz val="10"/>
        <rFont val="Arial"/>
        <family val="2"/>
      </rPr>
      <t>2</t>
    </r>
    <r>
      <rPr>
        <b/>
        <sz val="10"/>
        <rFont val="Arial"/>
        <family val="2"/>
      </rPr>
      <t>O Factor 
(g / mile)</t>
    </r>
  </si>
  <si>
    <t>Fuel Usage (gallons)</t>
  </si>
  <si>
    <r>
      <t>CH</t>
    </r>
    <r>
      <rPr>
        <b/>
        <vertAlign val="subscript"/>
        <sz val="10"/>
        <rFont val="Arial"/>
        <family val="2"/>
      </rPr>
      <t>4</t>
    </r>
    <r>
      <rPr>
        <b/>
        <sz val="10"/>
        <rFont val="Arial"/>
        <family val="2"/>
      </rPr>
      <t xml:space="preserve"> (g) </t>
    </r>
  </si>
  <si>
    <r>
      <t>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for Highway Vehicles</t>
    </r>
  </si>
  <si>
    <t>Fuel Combusted</t>
  </si>
  <si>
    <r>
      <t>CH</t>
    </r>
    <r>
      <rPr>
        <b/>
        <vertAlign val="subscript"/>
        <sz val="10"/>
        <rFont val="Arial"/>
        <family val="2"/>
      </rPr>
      <t>4</t>
    </r>
    <r>
      <rPr>
        <b/>
        <sz val="10"/>
        <rFont val="Arial"/>
        <family val="2"/>
      </rPr>
      <t xml:space="preserve"> Factor 
(g / unit)</t>
    </r>
  </si>
  <si>
    <r>
      <t>N</t>
    </r>
    <r>
      <rPr>
        <b/>
        <vertAlign val="subscript"/>
        <sz val="10"/>
        <rFont val="Arial"/>
        <family val="2"/>
      </rPr>
      <t>2</t>
    </r>
    <r>
      <rPr>
        <b/>
        <sz val="10"/>
        <rFont val="Arial"/>
        <family val="2"/>
      </rPr>
      <t>O Factor 
(g / unit)</t>
    </r>
  </si>
  <si>
    <r>
      <t>CH</t>
    </r>
    <r>
      <rPr>
        <b/>
        <vertAlign val="subscript"/>
        <sz val="10"/>
        <rFont val="Arial"/>
        <family val="2"/>
      </rPr>
      <t xml:space="preserve">4 </t>
    </r>
    <r>
      <rPr>
        <b/>
        <sz val="10"/>
        <rFont val="Arial"/>
        <family val="2"/>
      </rPr>
      <t>Factor 
(g / mile)</t>
    </r>
  </si>
  <si>
    <t>Bus</t>
  </si>
  <si>
    <t>East Power Plant Finished Goods</t>
  </si>
  <si>
    <t>Product Transport Vehicle Type</t>
  </si>
  <si>
    <t>ton-mile</t>
  </si>
  <si>
    <r>
      <t>CO</t>
    </r>
    <r>
      <rPr>
        <b/>
        <vertAlign val="subscript"/>
        <sz val="10"/>
        <rFont val="Arial"/>
        <family val="2"/>
      </rPr>
      <t>2</t>
    </r>
    <r>
      <rPr>
        <b/>
        <sz val="10"/>
        <rFont val="Arial"/>
        <family val="2"/>
      </rPr>
      <t xml:space="preserve"> Factor 
(kg / unit)</t>
    </r>
  </si>
  <si>
    <r>
      <t>CH</t>
    </r>
    <r>
      <rPr>
        <b/>
        <vertAlign val="subscript"/>
        <sz val="10"/>
        <rFont val="Arial"/>
        <family val="2"/>
      </rPr>
      <t xml:space="preserve">4 </t>
    </r>
    <r>
      <rPr>
        <b/>
        <sz val="10"/>
        <rFont val="Arial"/>
        <family val="2"/>
      </rPr>
      <t>Factor 
(g / unit)</t>
    </r>
  </si>
  <si>
    <t>Rail</t>
  </si>
  <si>
    <t>vehicle-mile</t>
  </si>
  <si>
    <t>passenger-mile</t>
  </si>
  <si>
    <t>Emissions Summary</t>
  </si>
  <si>
    <t>Quick Data Entry Navigation</t>
  </si>
  <si>
    <t>Refrigeration and AC</t>
  </si>
  <si>
    <t>Fire Suppression</t>
  </si>
  <si>
    <t>Business Travel</t>
  </si>
  <si>
    <t>Commuting</t>
  </si>
  <si>
    <t>Tab Navigation</t>
  </si>
  <si>
    <t>Medium Haul (&gt;= 300 miles, &lt; 2300 miles)</t>
  </si>
  <si>
    <t>Source:</t>
  </si>
  <si>
    <t>Source ID</t>
  </si>
  <si>
    <r>
      <t>CO</t>
    </r>
    <r>
      <rPr>
        <b/>
        <vertAlign val="subscript"/>
        <sz val="10"/>
        <rFont val="Arial"/>
        <family val="2"/>
      </rPr>
      <t>2</t>
    </r>
    <r>
      <rPr>
        <b/>
        <sz val="10"/>
        <rFont val="Arial"/>
        <family val="2"/>
      </rPr>
      <t xml:space="preserve"> Emissions (kg)</t>
    </r>
  </si>
  <si>
    <r>
      <t>CH</t>
    </r>
    <r>
      <rPr>
        <b/>
        <vertAlign val="subscript"/>
        <sz val="10"/>
        <rFont val="Arial"/>
        <family val="2"/>
      </rPr>
      <t>4</t>
    </r>
    <r>
      <rPr>
        <b/>
        <sz val="10"/>
        <rFont val="Arial"/>
        <family val="2"/>
      </rPr>
      <t xml:space="preserve"> Emissions (g)</t>
    </r>
  </si>
  <si>
    <r>
      <t>N</t>
    </r>
    <r>
      <rPr>
        <b/>
        <vertAlign val="subscript"/>
        <sz val="10"/>
        <rFont val="Arial"/>
        <family val="2"/>
      </rPr>
      <t>2</t>
    </r>
    <r>
      <rPr>
        <b/>
        <sz val="10"/>
        <rFont val="Arial"/>
        <family val="2"/>
      </rPr>
      <t>O Emissions (g)</t>
    </r>
  </si>
  <si>
    <t>Product Transport Type</t>
  </si>
  <si>
    <t>Total for all Product Transport by Ton-Miles</t>
  </si>
  <si>
    <t xml:space="preserve">Transport Type </t>
  </si>
  <si>
    <r>
      <t>CO</t>
    </r>
    <r>
      <rPr>
        <b/>
        <vertAlign val="subscript"/>
        <sz val="10"/>
        <rFont val="Arial"/>
        <family val="2"/>
      </rPr>
      <t>2</t>
    </r>
    <r>
      <rPr>
        <b/>
        <sz val="10"/>
        <rFont val="Arial"/>
        <family val="2"/>
      </rPr>
      <t xml:space="preserve"> (kg)</t>
    </r>
  </si>
  <si>
    <r>
      <t>CH</t>
    </r>
    <r>
      <rPr>
        <b/>
        <vertAlign val="subscript"/>
        <sz val="10"/>
        <rFont val="Arial"/>
        <family val="2"/>
      </rPr>
      <t>4</t>
    </r>
    <r>
      <rPr>
        <b/>
        <sz val="10"/>
        <rFont val="Arial"/>
        <family val="2"/>
      </rPr>
      <t xml:space="preserve"> (g)</t>
    </r>
  </si>
  <si>
    <t>Guidance</t>
  </si>
  <si>
    <t>Travel by Passenger Miles</t>
  </si>
  <si>
    <t>Travel by Vehicle Miles</t>
  </si>
  <si>
    <t>Travel by Air</t>
  </si>
  <si>
    <r>
      <t>CH</t>
    </r>
    <r>
      <rPr>
        <b/>
        <vertAlign val="subscript"/>
        <sz val="10"/>
        <rFont val="Arial"/>
        <family val="2"/>
      </rPr>
      <t>4</t>
    </r>
    <r>
      <rPr>
        <b/>
        <sz val="10"/>
        <rFont val="Arial"/>
        <family val="2"/>
      </rPr>
      <t xml:space="preserve"> Emissions  (g)</t>
    </r>
  </si>
  <si>
    <t>Passenger-Miles (miles)</t>
  </si>
  <si>
    <r>
      <t>CH</t>
    </r>
    <r>
      <rPr>
        <b/>
        <vertAlign val="subscript"/>
        <sz val="10"/>
        <rFont val="Arial"/>
        <family val="2"/>
      </rPr>
      <t>4</t>
    </r>
    <r>
      <rPr>
        <b/>
        <sz val="10"/>
        <rFont val="Arial"/>
        <family val="2"/>
      </rPr>
      <t xml:space="preserve"> Emissions 
(g)</t>
    </r>
  </si>
  <si>
    <r>
      <t>N</t>
    </r>
    <r>
      <rPr>
        <b/>
        <vertAlign val="subscript"/>
        <sz val="10"/>
        <rFont val="Arial"/>
        <family val="2"/>
      </rPr>
      <t>2</t>
    </r>
    <r>
      <rPr>
        <b/>
        <sz val="10"/>
        <rFont val="Arial"/>
        <family val="2"/>
      </rPr>
      <t>O
 Emissions 
(g)</t>
    </r>
  </si>
  <si>
    <r>
      <t>N</t>
    </r>
    <r>
      <rPr>
        <b/>
        <vertAlign val="subscript"/>
        <sz val="10"/>
        <rFont val="Arial"/>
        <family val="2"/>
      </rPr>
      <t>2</t>
    </r>
    <r>
      <rPr>
        <b/>
        <sz val="10"/>
        <rFont val="Arial"/>
        <family val="2"/>
      </rPr>
      <t>O 
Emissions 
(g)</t>
    </r>
  </si>
  <si>
    <t>Flight Length</t>
  </si>
  <si>
    <t xml:space="preserve"> Vehicle-Miles (miles)</t>
  </si>
  <si>
    <r>
      <t>Total CO</t>
    </r>
    <r>
      <rPr>
        <b/>
        <vertAlign val="subscript"/>
        <sz val="10"/>
        <rFont val="Arial"/>
        <family val="2"/>
      </rPr>
      <t>2</t>
    </r>
    <r>
      <rPr>
        <b/>
        <sz val="10"/>
        <rFont val="Arial"/>
        <family val="2"/>
      </rPr>
      <t xml:space="preserve"> Emissions by Travel Type</t>
    </r>
  </si>
  <si>
    <r>
      <t>Total CO</t>
    </r>
    <r>
      <rPr>
        <b/>
        <vertAlign val="subscript"/>
        <sz val="10"/>
        <rFont val="Arial"/>
        <family val="2"/>
      </rPr>
      <t>2</t>
    </r>
    <r>
      <rPr>
        <b/>
        <sz val="10"/>
        <rFont val="Arial"/>
        <family val="2"/>
      </rPr>
      <t xml:space="preserve"> Emissions by Commuting Type</t>
    </r>
  </si>
  <si>
    <t>Emissions by Source and Fuel Type for Steam Purchased</t>
  </si>
  <si>
    <t xml:space="preserve"> -- If "Fuel Type" is not known, select "Natural Gas" from drop box as default value.</t>
  </si>
  <si>
    <t>Refrigerants and Global Warming Potentials (GWPs)</t>
  </si>
  <si>
    <r>
      <t>N</t>
    </r>
    <r>
      <rPr>
        <vertAlign val="subscript"/>
        <sz val="10"/>
        <rFont val="Arial"/>
        <family val="2"/>
      </rPr>
      <t>2</t>
    </r>
    <r>
      <rPr>
        <sz val="10"/>
        <rFont val="Arial"/>
        <family val="2"/>
      </rPr>
      <t>O</t>
    </r>
  </si>
  <si>
    <r>
      <t>Option 3.</t>
    </r>
    <r>
      <rPr>
        <sz val="10"/>
        <rFont val="Arial"/>
        <family val="2"/>
      </rPr>
      <t xml:space="preserve">     Screening Method:  Enter fire suppression gas information for each unit or group of units (by gas) in </t>
    </r>
    <r>
      <rPr>
        <b/>
        <sz val="10"/>
        <rFont val="Arial"/>
        <family val="2"/>
      </rPr>
      <t>Table 3.</t>
    </r>
  </si>
  <si>
    <r>
      <t>Option 3.</t>
    </r>
    <r>
      <rPr>
        <sz val="10"/>
        <rFont val="Arial"/>
        <family val="2"/>
      </rPr>
      <t xml:space="preserve">     Screening Method:  Enter refrigerant information for each unit or group of units (by refrigerant) in </t>
    </r>
    <r>
      <rPr>
        <b/>
        <sz val="10"/>
        <rFont val="Arial"/>
        <family val="2"/>
      </rPr>
      <t>Table 3.</t>
    </r>
  </si>
  <si>
    <t xml:space="preserve">                      -- If data entered for multiple units, sum the capacities or charge quantity for all like units.</t>
  </si>
  <si>
    <t>Reference Table: Type of Equipment and Default Capacity Ranges (Lower to Upper Range) for Table 3</t>
  </si>
  <si>
    <t>Reference Table: Average Fuel Economy by Vehicle Type</t>
  </si>
  <si>
    <t>Ethanol Percent:</t>
  </si>
  <si>
    <t>GHG Emissions</t>
  </si>
  <si>
    <t>Go to Boundary Questions</t>
  </si>
  <si>
    <t>Help Tab Navigation</t>
  </si>
  <si>
    <t>Help - Mobile Sources</t>
  </si>
  <si>
    <t>Help - Refrigeration and AC</t>
  </si>
  <si>
    <t>Help - Fire Suppression</t>
  </si>
  <si>
    <t>Help - Electricity</t>
  </si>
  <si>
    <t>Help - Steam</t>
  </si>
  <si>
    <t>Help - Business Travel</t>
  </si>
  <si>
    <t>Help - Commuting</t>
  </si>
  <si>
    <t>Help - Offsets</t>
  </si>
  <si>
    <t>Tool Sheets</t>
  </si>
  <si>
    <t>Yes or No?</t>
  </si>
  <si>
    <t>Emissions Source Questions</t>
  </si>
  <si>
    <t>Do you purchase steam for heating or cooling in your facilities?</t>
  </si>
  <si>
    <t>- Stationary Combustion</t>
  </si>
  <si>
    <t>- Refrigeration and AC</t>
  </si>
  <si>
    <t>- Electricity</t>
  </si>
  <si>
    <t>Tip: you may need to ask your landlord about heating sources, steam purchased and refrigerants</t>
  </si>
  <si>
    <t>pounds (lb)</t>
  </si>
  <si>
    <t>lb</t>
  </si>
  <si>
    <t>metric ton</t>
  </si>
  <si>
    <t>kilogram (kg)</t>
  </si>
  <si>
    <t>lb / metric ton</t>
  </si>
  <si>
    <t>lb / kg</t>
  </si>
  <si>
    <t>gram (g)</t>
  </si>
  <si>
    <t>g /  lb</t>
  </si>
  <si>
    <t>kg / lb</t>
  </si>
  <si>
    <t>metric ton / lb</t>
  </si>
  <si>
    <t>kg / metric ton</t>
  </si>
  <si>
    <t>short ton / metric ton</t>
  </si>
  <si>
    <t>standard cubic foot (scf)</t>
  </si>
  <si>
    <t>US gallons (gal)</t>
  </si>
  <si>
    <t>barrel (bbl)</t>
  </si>
  <si>
    <t>liters (L)</t>
  </si>
  <si>
    <t>gal / scf</t>
  </si>
  <si>
    <t>bbl / scf</t>
  </si>
  <si>
    <t>L / scf</t>
  </si>
  <si>
    <t>m3 / scf</t>
  </si>
  <si>
    <t>US gallon (gal)</t>
  </si>
  <si>
    <t>cubic meters (m3)</t>
  </si>
  <si>
    <t>bbl / gal</t>
  </si>
  <si>
    <t>L / gal</t>
  </si>
  <si>
    <t>m3 / gal</t>
  </si>
  <si>
    <t>gal / bbl</t>
  </si>
  <si>
    <t>L / bbl</t>
  </si>
  <si>
    <t>m3 / bbl</t>
  </si>
  <si>
    <t>m3 / L</t>
  </si>
  <si>
    <t>gal / L</t>
  </si>
  <si>
    <t>bbl / m3</t>
  </si>
  <si>
    <t>gal / m3</t>
  </si>
  <si>
    <t>L / m3</t>
  </si>
  <si>
    <t>Btu</t>
  </si>
  <si>
    <t xml:space="preserve">kilojoules (KJ) </t>
  </si>
  <si>
    <t xml:space="preserve">gigajoules (GJ) </t>
  </si>
  <si>
    <t>million Btu (mmBtu)</t>
  </si>
  <si>
    <t>kilowatt hours (kWh)</t>
  </si>
  <si>
    <t xml:space="preserve">joules (J) </t>
  </si>
  <si>
    <t>kilowatt hour (kWh)</t>
  </si>
  <si>
    <t>megajoule (MJ)</t>
  </si>
  <si>
    <t>gigajoule (GJ)</t>
  </si>
  <si>
    <t>Btu / kWh</t>
  </si>
  <si>
    <t>KJ / kWh</t>
  </si>
  <si>
    <t>GJ / MJ</t>
  </si>
  <si>
    <t>mmBtu / GJ</t>
  </si>
  <si>
    <t>kWh / GJ</t>
  </si>
  <si>
    <t>J / Btu</t>
  </si>
  <si>
    <t>GJ / mmBtu</t>
  </si>
  <si>
    <t>kWh / mmBtu</t>
  </si>
  <si>
    <t>Btu / therm</t>
  </si>
  <si>
    <t>GJ / therm</t>
  </si>
  <si>
    <t>kWh / therm</t>
  </si>
  <si>
    <t>mile</t>
  </si>
  <si>
    <t>nautical mile</t>
  </si>
  <si>
    <t>miles</t>
  </si>
  <si>
    <t>kilometers (km)</t>
  </si>
  <si>
    <t>kilometer (km)</t>
  </si>
  <si>
    <t>km / mile</t>
  </si>
  <si>
    <t>mile / nautical mile</t>
  </si>
  <si>
    <t>mile / km</t>
  </si>
  <si>
    <t>Notes</t>
  </si>
  <si>
    <t>Medium- and Heavy-duty Truck</t>
  </si>
  <si>
    <t>Help - Stationary Combustion</t>
  </si>
  <si>
    <t>Average Fuel Economy (mpg)</t>
  </si>
  <si>
    <t>Equivalent</t>
  </si>
  <si>
    <r>
      <t>CO</t>
    </r>
    <r>
      <rPr>
        <b/>
        <vertAlign val="subscript"/>
        <sz val="10"/>
        <rFont val="Arial"/>
        <family val="2"/>
      </rPr>
      <t>2</t>
    </r>
    <r>
      <rPr>
        <b/>
        <sz val="10"/>
        <rFont val="Arial"/>
        <family val="2"/>
      </rPr>
      <t xml:space="preserve"> Equivalent</t>
    </r>
  </si>
  <si>
    <r>
      <t>Table 2.  Rail or Bus - Business Travel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</si>
  <si>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r>
      <t>Table 3.  Air - Business Travel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</si>
  <si>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Total for all Personal Vehicle Employee Commuting</t>
  </si>
  <si>
    <t>Total for all Public Transportation Employee Commuting</t>
  </si>
  <si>
    <r>
      <t>Table 2.  Product Transport by Ton-Miles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</si>
  <si>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Total for Product Transport by Vehicle-Miles</t>
  </si>
  <si>
    <t>Operational Boundary Questions - Emissions Sources to Include</t>
  </si>
  <si>
    <t>Tool Sheet: Heat Content for Specific Fuels</t>
  </si>
  <si>
    <t>Does your inventory include facilities that use electricity?</t>
  </si>
  <si>
    <t>Refrigeration and Air Conditioning</t>
  </si>
  <si>
    <t>Do your facilities use refrigeration or air conditioning equipment?</t>
  </si>
  <si>
    <t>Refrigeration / AC Equipment Use</t>
  </si>
  <si>
    <t>Do your facilities use chemical fire suppressants?</t>
  </si>
  <si>
    <t xml:space="preserve">Do you hire another company to transport products or other materials to or from your facilities? </t>
  </si>
  <si>
    <t>Do you purchase greenhouse gas offsets?</t>
  </si>
  <si>
    <t>Mobile Combustion Emission Factors</t>
  </si>
  <si>
    <t>Tool Sheet: Emission Factors</t>
  </si>
  <si>
    <t>Electricity eGRID Subregions</t>
  </si>
  <si>
    <t>DEFINITION</t>
  </si>
  <si>
    <t xml:space="preserve">Combustion emission sources are stationary sources that combust fuel, like a natural gas hot water heater for an office building or an oil burning boiler.  Emissions result from the actual combustion of the fuels to produce useful products, like heat and hot water. </t>
  </si>
  <si>
    <t>COLLECT</t>
  </si>
  <si>
    <t>QUANTIFY</t>
  </si>
  <si>
    <r>
      <t>Fire suppression emission sources can range in scale from a small portable fire extinguisher to a large scale fire suppression system for an office building or warehouse.  The emissions are caused by chemicals (e.g., HFCs or CO</t>
    </r>
    <r>
      <rPr>
        <vertAlign val="subscript"/>
        <sz val="10"/>
        <rFont val="Arial"/>
        <family val="2"/>
      </rPr>
      <t>2</t>
    </r>
    <r>
      <rPr>
        <sz val="10"/>
        <rFont val="Arial"/>
        <family val="2"/>
      </rPr>
      <t>) emitted from fire suppression devices during use, maintenance, and disposal.</t>
    </r>
  </si>
  <si>
    <t xml:space="preserve">Choose one of three different calculation methods available in the “Fire Suppression” section of the Calculator.  In each method, choose the types of fire suppression gases used and then gather the corresponding emissions data.  Data for these sources is often collected from maintenance and inspection records, work orders, or invoices from contractors that service this equipment. </t>
  </si>
  <si>
    <t>-</t>
  </si>
  <si>
    <t>The number off the utility bill to use is the total usage amount (i.e., the difference between the meter reading at the beginning of the month and the end of the month).</t>
  </si>
  <si>
    <t xml:space="preserve">Determine the types of vehicles, types and amount of fuel, and the miles driven for each vehicle or vehicle type.  Data sources vary but fuel usage is often determined from fuel receipts or purchase records and provided in gallons, and mileage from vehicle records.  Mileage or fuel use can also be estimated based on vehicle fuel economy from the manufacturer or www.fueleconomy.gov if the other data sources are not readily available. </t>
  </si>
  <si>
    <t>Items to Note</t>
  </si>
  <si>
    <t>Amount of fuel consumed</t>
  </si>
  <si>
    <t>Type of fuel consumed</t>
  </si>
  <si>
    <t>Data Collection Checklist (for all facilities)</t>
  </si>
  <si>
    <t>Data Collection Checklist (for all vehicles)</t>
  </si>
  <si>
    <t>Type and year of vehicle</t>
  </si>
  <si>
    <r>
      <t>Table 2.  Public Transportation - Employee Commuting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</si>
  <si>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r>
      <t>Table 1.  Personal Vehicle - Employee Commuting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</si>
  <si>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Data Collection Checklist (per Employee)</t>
  </si>
  <si>
    <t>Round trip mileage</t>
  </si>
  <si>
    <t>Mode of transport (this may be multiple modes of transport)</t>
  </si>
  <si>
    <t>ASHRAE #</t>
  </si>
  <si>
    <t>Blend GWP HFC/PFC</t>
  </si>
  <si>
    <t>Blended Refrigerants (ASHRAE #)</t>
  </si>
  <si>
    <t>Blend Make-up</t>
  </si>
  <si>
    <t>53% HCFC-22 , 34% HCFC-124 , 13% HFC-152a</t>
  </si>
  <si>
    <t>61% HCFC-22 , 28% HCFC-124 , 11% HFC-152a</t>
  </si>
  <si>
    <t>33% HCFC-22 , 52% HCFC-124 , 15% HFC-152a</t>
  </si>
  <si>
    <t>38% HCFC-22 , 6% HFC-125 , 2% propane</t>
  </si>
  <si>
    <t>6% HCFC-22 , 38% HFC-125 , 2% propane</t>
  </si>
  <si>
    <t>56% HCFC-22 , 39% PFC-218 , 5% propane</t>
  </si>
  <si>
    <t>44% HFC-125 , 4% HFC-134a , 52% HFC 143a</t>
  </si>
  <si>
    <t>55% HCFC-22 , 41% HCFC-142b , 4% isobutane</t>
  </si>
  <si>
    <t>20% HFC-32 , 40% HFC-125 , 40% HFC-134a</t>
  </si>
  <si>
    <t>10% HFC-32 , 70% HFC-125 , 20% HFC-134a</t>
  </si>
  <si>
    <t>23% HFC-32 , 25% HFC-125 , 52% HFC-134a</t>
  </si>
  <si>
    <t>15% HFC-32 , 15% HFC-125 , 70% HFC-134a</t>
  </si>
  <si>
    <t>25% HFC-32 , 15% HFC-125 , 60% HFC-134a</t>
  </si>
  <si>
    <t>47% HCFC-22 , 7% HFC-125 , 46% HFC 143a</t>
  </si>
  <si>
    <t>60% HCFC-22 , 25% HCFC-124 , 15% HCFC-142b</t>
  </si>
  <si>
    <t>50% HFC-32 , 50% HFC-125</t>
  </si>
  <si>
    <t xml:space="preserve">45% HFC-32 , 55% HFC-125 </t>
  </si>
  <si>
    <t>94% HCFC-22 , 3% HFC-152a , 3% propylene</t>
  </si>
  <si>
    <t>88% HFC-134a , 9% PFC-218 , 3% isobutane</t>
  </si>
  <si>
    <t>51% HCFC-22 , 28.5% HCFC-124 , 16.5% HCFC-142b</t>
  </si>
  <si>
    <t>5% HCFC-22 , 39% HCFC-124 , 9.5% HCFC-142b</t>
  </si>
  <si>
    <t>46.6% HFC-125 , 5% HFC-134a , 3.4% butane</t>
  </si>
  <si>
    <t>85.1% HFC-125 , 11.5% HFC-134a , 3.4% isobutane</t>
  </si>
  <si>
    <t>65.1% HFC-125 , 31.5% HFC-134a , 3.4% isobutane</t>
  </si>
  <si>
    <t>77.5% HFC-125 , 2% HFC-143a , 1.9% isobutane</t>
  </si>
  <si>
    <t>73.8% CFC-12 , 26.2% HFC-152a , 48.8% HCFC-22</t>
  </si>
  <si>
    <t xml:space="preserve">48.8% HCFC-22 , 51.2% CFC-115 </t>
  </si>
  <si>
    <t>48.2% HFC-32 , 51.8% CFC-115</t>
  </si>
  <si>
    <t>5% HFC-125 , 5% HFC143a</t>
  </si>
  <si>
    <t>39% HFC-23 , 61% PFC-116</t>
  </si>
  <si>
    <t>46% HFC-23 , 54% PFC-116</t>
  </si>
  <si>
    <t>Data Collection Checklist (by equipment)</t>
  </si>
  <si>
    <t>Amount of fuel consumed for the inventory reporting period</t>
  </si>
  <si>
    <t>Total miles driven for the inventory reporting period</t>
  </si>
  <si>
    <t>Inventory Reporting Period:</t>
  </si>
  <si>
    <t>Purchased Gases</t>
  </si>
  <si>
    <t>Help - Purchased Gases</t>
  </si>
  <si>
    <t>Table 1.  Purchased Gases</t>
  </si>
  <si>
    <t>GHGs</t>
  </si>
  <si>
    <t>N2O</t>
  </si>
  <si>
    <t>Tip: If you purchase bulk gas, remember to report it for future years as well.</t>
  </si>
  <si>
    <t>Molecular Weights</t>
  </si>
  <si>
    <t>Element</t>
  </si>
  <si>
    <t>Atomic Weight</t>
  </si>
  <si>
    <r>
      <t>Total CO</t>
    </r>
    <r>
      <rPr>
        <b/>
        <vertAlign val="subscript"/>
        <sz val="10"/>
        <rFont val="Arial"/>
        <family val="2"/>
      </rPr>
      <t>2</t>
    </r>
    <r>
      <rPr>
        <b/>
        <sz val="10"/>
        <rFont val="Arial"/>
        <family val="2"/>
      </rPr>
      <t xml:space="preserve"> Equivalent Emissions  (metric tons) - Stationary Combustion</t>
    </r>
  </si>
  <si>
    <r>
      <t>Total Biomass CO</t>
    </r>
    <r>
      <rPr>
        <b/>
        <vertAlign val="subscript"/>
        <sz val="10"/>
        <rFont val="Arial"/>
        <family val="2"/>
      </rPr>
      <t>2</t>
    </r>
    <r>
      <rPr>
        <b/>
        <sz val="10"/>
        <rFont val="Arial"/>
        <family val="2"/>
      </rPr>
      <t xml:space="preserve"> Equivalent Emissions  (metric tons)  - Stationary Combustion</t>
    </r>
  </si>
  <si>
    <r>
      <t>Total CO</t>
    </r>
    <r>
      <rPr>
        <b/>
        <vertAlign val="subscript"/>
        <sz val="10"/>
        <rFont val="Arial"/>
        <family val="2"/>
      </rPr>
      <t>2</t>
    </r>
    <r>
      <rPr>
        <b/>
        <sz val="10"/>
        <rFont val="Arial"/>
        <family val="2"/>
      </rPr>
      <t xml:space="preserve"> Equivalent Emissions  (metric tons) - Refrigeration and AC Equipment</t>
    </r>
  </si>
  <si>
    <r>
      <t>Total CO</t>
    </r>
    <r>
      <rPr>
        <b/>
        <vertAlign val="subscript"/>
        <sz val="10"/>
        <rFont val="Arial"/>
        <family val="2"/>
      </rPr>
      <t xml:space="preserve">2 </t>
    </r>
    <r>
      <rPr>
        <b/>
        <sz val="10"/>
        <rFont val="Arial"/>
        <family val="2"/>
      </rPr>
      <t>Equivalent Emissions  (metric tons) - Fire Suppression Equipment</t>
    </r>
  </si>
  <si>
    <r>
      <t>Total CO</t>
    </r>
    <r>
      <rPr>
        <b/>
        <vertAlign val="subscript"/>
        <sz val="10"/>
        <rFont val="Arial"/>
        <family val="2"/>
      </rPr>
      <t>2</t>
    </r>
    <r>
      <rPr>
        <b/>
        <sz val="10"/>
        <rFont val="Arial"/>
        <family val="2"/>
      </rPr>
      <t xml:space="preserve"> Equivalent Emissions  (metric tons) - Purchased Gas</t>
    </r>
  </si>
  <si>
    <r>
      <t>Total CO</t>
    </r>
    <r>
      <rPr>
        <b/>
        <vertAlign val="subscript"/>
        <sz val="10"/>
        <rFont val="Arial"/>
        <family val="2"/>
      </rPr>
      <t>2</t>
    </r>
    <r>
      <rPr>
        <b/>
        <sz val="10"/>
        <rFont val="Arial"/>
        <family val="2"/>
      </rPr>
      <t xml:space="preserve"> Equivalent Emissions  (metric tons) - Commuting</t>
    </r>
  </si>
  <si>
    <t>On this sheet you will find general suggestions regarding GHG inventory data management.</t>
  </si>
  <si>
    <t>DATA MANAGEMENT</t>
  </si>
  <si>
    <t>* Address (including zip code)</t>
  </si>
  <si>
    <t>* Facility Name or Site ID</t>
  </si>
  <si>
    <t>* Type of Facility</t>
  </si>
  <si>
    <t>Electricity Data</t>
  </si>
  <si>
    <t>Mobile Fuel Data</t>
  </si>
  <si>
    <t>* List of Vehicles (Year, Make, Model, Fuel Type)</t>
  </si>
  <si>
    <t>* Fuel Consumption by Vehicle</t>
  </si>
  <si>
    <t>* Fuel Cost by Vehicle</t>
  </si>
  <si>
    <t>Refrigeration and AC Data</t>
  </si>
  <si>
    <t>Fire Suppression Data</t>
  </si>
  <si>
    <t>Purchased Gas Data</t>
  </si>
  <si>
    <t>Steam Data</t>
  </si>
  <si>
    <t>* Steam Provider Emission Factors</t>
  </si>
  <si>
    <t>* Mileage by Trip (i.e., for each leg of transport)</t>
  </si>
  <si>
    <t>* Mode of Transportation</t>
  </si>
  <si>
    <t>* Mode of Transportation per Employee</t>
  </si>
  <si>
    <t>Benchmarks</t>
  </si>
  <si>
    <t>Building Type</t>
  </si>
  <si>
    <t>Midwest</t>
  </si>
  <si>
    <t>South</t>
  </si>
  <si>
    <t>West</t>
  </si>
  <si>
    <t>Office</t>
  </si>
  <si>
    <t>Warehouse and Storage</t>
  </si>
  <si>
    <t>Electricity Intensity</t>
  </si>
  <si>
    <t>Natural Gas Intensity</t>
  </si>
  <si>
    <t>Fuel Oil Intensity</t>
  </si>
  <si>
    <t>All others</t>
  </si>
  <si>
    <t>QUALITY ASSURANCE/QUALITY CONTROL (QA/QC) - Suggested Checks</t>
  </si>
  <si>
    <t xml:space="preserve">Compare usage data from one year to the next.  </t>
  </si>
  <si>
    <t xml:space="preserve">2. If there is a significant change, can it be explained? </t>
  </si>
  <si>
    <t>Northeast</t>
  </si>
  <si>
    <t>Data Collection Checklist (by equipment and/or facility)</t>
  </si>
  <si>
    <t>Data Collection Checklist (for all applicable facilities)</t>
  </si>
  <si>
    <t>Type of gas purchased</t>
  </si>
  <si>
    <t>Amount of gas purchased</t>
  </si>
  <si>
    <t>Purpose for the gas</t>
  </si>
  <si>
    <t xml:space="preserve">Amount of steam purchased </t>
  </si>
  <si>
    <t>Amount of electricity purchased</t>
  </si>
  <si>
    <t>http://www.epa.gov/ozone/snap/refrigerants/refblend.html</t>
  </si>
  <si>
    <t>Optional: Track HCFC and CFCs, such as R-22</t>
  </si>
  <si>
    <t xml:space="preserve">Choose one of three different calculation methods available in the “Refrigeration and AC” section of the Calculator.  The types of refrigerants along with the data needs for each method are listed in the Calculator.  Data for these sources is often collected from maintenance and inspection records, work orders, or invoices from contractors that service this equipment.  Refrigerants not included on the list may be chemicals that do not need to be included in the inventory.  For example, ozone depleting substances, such as chlorofluorocarbons (CFCs) or “freon” and hydrochlorofluorocarbons (HCFCs), are regulated internationally and are typically excluded from a GHG inventory or reported as a memo item.  A reason to track these sources is to provide explanation for the increase of HFCs and PFCs when they replace the phased out CFCs and HCFCs. </t>
  </si>
  <si>
    <t>Vehicle Classification Guidelines</t>
  </si>
  <si>
    <r>
      <t>Table 1.  Personal Vehicle, Rental Car or Taxi - Business Travel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</si>
  <si>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Data Collection Checklist</t>
  </si>
  <si>
    <t>Data Collection Checklist (for all employee travel)</t>
  </si>
  <si>
    <t>Collect information about each employee’s commuting method.  If not all employees can provide information on their commuting habits, you can calculate an average per employee and multiply by total employees to estimate. For commuters that use a personal vehicle, the appropriate vehicle type should be selected from the Calculator and data collected for the vehicle-miles during the reporting period.  For rail, bus, and air travel, the mode of transport should be selected from the Calculator options and an estimate of the passenger mileage data provided for each.</t>
  </si>
  <si>
    <t>Mode of transport per leg</t>
  </si>
  <si>
    <t>All product transport legs (origin and destination) and mileage</t>
  </si>
  <si>
    <t>Biodiesel Percent:</t>
  </si>
  <si>
    <t xml:space="preserve">                  - Select "Vehicle Type" from drop down box (closest type available).  </t>
  </si>
  <si>
    <t xml:space="preserve">                     </t>
  </si>
  <si>
    <r>
      <t>SF</t>
    </r>
    <r>
      <rPr>
        <vertAlign val="subscript"/>
        <sz val="10"/>
        <rFont val="Arial"/>
        <family val="2"/>
      </rPr>
      <t xml:space="preserve">6 </t>
    </r>
  </si>
  <si>
    <r>
      <t>C</t>
    </r>
    <r>
      <rPr>
        <vertAlign val="subscript"/>
        <sz val="10"/>
        <rFont val="Arial"/>
        <family val="2"/>
      </rPr>
      <t>3</t>
    </r>
    <r>
      <rPr>
        <sz val="10"/>
        <rFont val="Arial"/>
        <family val="2"/>
      </rPr>
      <t>F</t>
    </r>
    <r>
      <rPr>
        <vertAlign val="subscript"/>
        <sz val="10"/>
        <rFont val="Arial"/>
        <family val="2"/>
      </rPr>
      <t>8</t>
    </r>
  </si>
  <si>
    <r>
      <t>C</t>
    </r>
    <r>
      <rPr>
        <vertAlign val="subscript"/>
        <sz val="10"/>
        <rFont val="Arial"/>
        <family val="2"/>
      </rPr>
      <t>4</t>
    </r>
    <r>
      <rPr>
        <sz val="10"/>
        <rFont val="Arial"/>
        <family val="2"/>
      </rPr>
      <t>F</t>
    </r>
    <r>
      <rPr>
        <vertAlign val="subscript"/>
        <sz val="10"/>
        <rFont val="Arial"/>
        <family val="2"/>
      </rPr>
      <t>10</t>
    </r>
  </si>
  <si>
    <r>
      <t>c-C</t>
    </r>
    <r>
      <rPr>
        <vertAlign val="subscript"/>
        <sz val="10"/>
        <rFont val="Arial"/>
        <family val="2"/>
      </rPr>
      <t>4</t>
    </r>
    <r>
      <rPr>
        <sz val="10"/>
        <rFont val="Arial"/>
        <family val="2"/>
      </rPr>
      <t>F</t>
    </r>
    <r>
      <rPr>
        <vertAlign val="subscript"/>
        <sz val="10"/>
        <rFont val="Arial"/>
        <family val="2"/>
      </rPr>
      <t>8</t>
    </r>
  </si>
  <si>
    <r>
      <t>C</t>
    </r>
    <r>
      <rPr>
        <vertAlign val="subscript"/>
        <sz val="10"/>
        <rFont val="Arial"/>
        <family val="2"/>
      </rPr>
      <t>5</t>
    </r>
    <r>
      <rPr>
        <sz val="10"/>
        <rFont val="Arial"/>
        <family val="2"/>
      </rPr>
      <t>F</t>
    </r>
    <r>
      <rPr>
        <vertAlign val="subscript"/>
        <sz val="10"/>
        <rFont val="Arial"/>
        <family val="2"/>
      </rPr>
      <t>12</t>
    </r>
  </si>
  <si>
    <r>
      <t>C</t>
    </r>
    <r>
      <rPr>
        <vertAlign val="subscript"/>
        <sz val="10"/>
        <rFont val="Arial"/>
        <family val="2"/>
      </rPr>
      <t>6</t>
    </r>
    <r>
      <rPr>
        <sz val="10"/>
        <rFont val="Arial"/>
        <family val="2"/>
      </rPr>
      <t>F</t>
    </r>
    <r>
      <rPr>
        <vertAlign val="subscript"/>
        <sz val="10"/>
        <rFont val="Arial"/>
        <family val="2"/>
      </rPr>
      <t>14</t>
    </r>
  </si>
  <si>
    <t>87.5% HCFC-22 , 11 HFC-152a , 1.5% propylene</t>
  </si>
  <si>
    <t>mmBtu / lb</t>
  </si>
  <si>
    <t>Mlb (1,000 pounds)</t>
  </si>
  <si>
    <t xml:space="preserve">Aviation Gasoline </t>
  </si>
  <si>
    <t xml:space="preserve">Refrigeration and Air Conditioning (AC) equipment sources can vary in size based on the type of organization.  Emissions from refrigeration and AC devices, in facilities or vehicles, are caused by the leakage of chemicals with global warming impact during use, maintenance and/or disposal of the device.  They are often small sources for office-based organizations.  For example, a small office building may have one rooftop AC unit while a grocery store chain may have several 
rooftop AC units per store as well as a multitude of other refrigeration equipment.  </t>
  </si>
  <si>
    <t>There are three primary steps in completing a GHG inventory.  Each emissions source also has these three steps.</t>
  </si>
  <si>
    <t xml:space="preserve">Use the heat content sheet to convert units provided on the invoice into the units the Calculator requires. </t>
  </si>
  <si>
    <t xml:space="preserve">  (C) It is assumed that all gas purchased in the reporting period used and released during the reporting period.  If your business makes  
        bulk purchases and plans on using the gas for several years, divide the bulk amount by the years of usage and report that amount.   </t>
  </si>
  <si>
    <t>Dth (Decatherm)</t>
  </si>
  <si>
    <t>kWh electricity / sq ft / year</t>
  </si>
  <si>
    <t>standard cubic feet (scf) natural gas / sq ft / year</t>
  </si>
  <si>
    <t>gallons fuel oil / sq ft / year</t>
  </si>
  <si>
    <t xml:space="preserve">1. Is there a significant change in consumption data year over year?  If so, hone in on the facilities causing the change.  </t>
  </si>
  <si>
    <t>3. If this amount is not reasonable, is there an error in either the consumption data or the data entry?  Check monthly data  
    by facility.</t>
  </si>
  <si>
    <t xml:space="preserve"> R-134a is the predominantly used refrigerant in vehicle AC systems.  If you are uncertain of which refrigerant 
 your vehicles use, you can assume R-134a.</t>
  </si>
  <si>
    <t xml:space="preserve">Contact the manufacturer if you cannot find the list of propellants or chemicals used in the fire extinguisher.   </t>
  </si>
  <si>
    <t>Total for all Personal Vehicle Business Travel</t>
  </si>
  <si>
    <t>Total for all Rail and Bus Business Travel</t>
  </si>
  <si>
    <r>
      <t>Total CO</t>
    </r>
    <r>
      <rPr>
        <b/>
        <vertAlign val="subscript"/>
        <sz val="10"/>
        <rFont val="Arial"/>
        <family val="2"/>
      </rPr>
      <t>2</t>
    </r>
    <r>
      <rPr>
        <b/>
        <sz val="10"/>
        <rFont val="Arial"/>
        <family val="2"/>
      </rPr>
      <t xml:space="preserve"> Equivalent Emissions  (metric tons) - Employee Business Travel</t>
    </r>
  </si>
  <si>
    <t>Total for all Air Business Travel</t>
  </si>
  <si>
    <r>
      <t xml:space="preserve">(C) For employees traveling by car, select "Vehicle Type" and enter miles traveled (vehicle-miles) in </t>
    </r>
    <r>
      <rPr>
        <b/>
        <sz val="10"/>
        <rFont val="Arial"/>
        <family val="2"/>
      </rPr>
      <t>Table 1</t>
    </r>
    <r>
      <rPr>
        <sz val="10"/>
        <rFont val="Arial"/>
        <family val="2"/>
      </rPr>
      <t xml:space="preserve">.  </t>
    </r>
  </si>
  <si>
    <t xml:space="preserve">     vehicle type or flight length.</t>
  </si>
  <si>
    <t>(B) Mileage data can be entered for individual trips or individual employees, or miles for multiple employees can be subtotaled by</t>
  </si>
  <si>
    <t>Collect information about employees’ business travel method. Travel by vehicle-miles is used when the employee is traveling in a personal vehicle.  Travel by passenger-mile is used when the employee is traveling in a vehicle shared with many other people (i.e., bus, train or plane).  For travelers that use a personal vehicle, choose the vehicle type from the Calculator and collect data for the vehicle miles during the reporting period.  For rail, bus, and air travel, the mode of travel should be selected from the Calculator options and an estimate of the passenger mileage data provided for each.</t>
  </si>
  <si>
    <t>Type of transport (personal vehicle, train, bus, plane)</t>
  </si>
  <si>
    <t>Miles traveled for each transport type.  For air travel, mileage should ideally be determined considering each flight segment individually.  If you use a travel agent, they may have these data in their records.</t>
  </si>
  <si>
    <r>
      <rPr>
        <b/>
        <sz val="10"/>
        <rFont val="Arial"/>
        <family val="2"/>
      </rPr>
      <t>Option 3:</t>
    </r>
    <r>
      <rPr>
        <sz val="10"/>
        <rFont val="Arial"/>
        <family val="2"/>
      </rPr>
      <t xml:space="preserve"> It is recommended that the Screening Method be used only as a screening tool because the emission factors used in the approach are highly uncertain. Emission factors vary between individual pieces of equipment and over time. Even if the amount of refrigerant added to a piece of equipment has been tracked carefully, permitting the previous leak rate of that equipment to be established, that leak rate can change after a leak is repaired or as the equipment ages. </t>
    </r>
  </si>
  <si>
    <t>Aviation Gasoline</t>
  </si>
  <si>
    <t xml:space="preserve">                      -- For each unit added or removed during reporting period, multiply its capacity by a usage factor (0.0 to 1.0). 
                         For example, if the equipment was installed in June, multiply by 0.5 or (6/12), if it was installed in  
                         September you would multiply by 0.33 (4/12).</t>
  </si>
  <si>
    <t>Trucks weighing more than 8,500 lb should be classified as "Heavy- Duty Trucks"</t>
  </si>
  <si>
    <t>Non-highway vehicles should be classified as "Construction Equip."</t>
  </si>
  <si>
    <t xml:space="preserve">                  - Enter "Fuel Usage" in appropriate units (units appear when vehicle type is selected).</t>
  </si>
  <si>
    <r>
      <t xml:space="preserve"> - If mileage or fuel usage is unknown, estimate using approximate fuel economy values (see </t>
    </r>
    <r>
      <rPr>
        <b/>
        <sz val="10"/>
        <rFont val="Arial"/>
        <family val="2"/>
      </rPr>
      <t>Reference Table</t>
    </r>
    <r>
      <rPr>
        <sz val="10"/>
        <rFont val="Arial"/>
        <family val="2"/>
      </rPr>
      <t xml:space="preserve"> below).</t>
    </r>
  </si>
  <si>
    <t>(B) When using biofuels, typically the biofuel (biodiesel or ethanol) is mixed with a petroleum fuel (diesel or gasoline) for use in 
      vehicles.   Enter the biodiesel and ethanol percentages of the fuel if known, or leave default values.</t>
  </si>
  <si>
    <t xml:space="preserve">Companies with home offices can optionally include these spaces in their inventory if the energy use associated with business activities can be reasonably estimated.  </t>
  </si>
  <si>
    <t>Pickups, Vans, and SUVs should be classified as "Light Trucks"</t>
  </si>
  <si>
    <t>Trucks weighing more than 8,500 lb should be classified as "Heavy- Duty Vehicles"</t>
  </si>
  <si>
    <t>Pickup trucks, vans, and SUVs should be classified as "Light-Duty Trucks"</t>
  </si>
  <si>
    <t>Fuel usage and mileage is reported the same for hybrid vehicles as for conventional vehicles.  If you are estimating mileage or fuel usage keep in mind the fuel efficiency.</t>
  </si>
  <si>
    <t xml:space="preserve">If you are using biodiesel or ethanol, the percentage of biodiesel and ethanol should be filled out accordingly.  If you are using these fuels in pure form, then you would enter 100%.  If you are using a mixture of biodiesel and petroleum diesel, or a mixture of ethanol and gasoline then you would enter the biodiesel or ethanol percentage in that mixture.  For example,  B100 is 100% biodiesel, likewise B20 is 20% biodiesel.  This is similar for ethanol; E85 is 85% ethanol. </t>
  </si>
  <si>
    <r>
      <t xml:space="preserve">                      -- If capacity of unit(s) is not known, use upper value of default capacity provided in the </t>
    </r>
    <r>
      <rPr>
        <b/>
        <sz val="10"/>
        <rFont val="Arial"/>
        <family val="2"/>
      </rPr>
      <t>Reference Table</t>
    </r>
    <r>
      <rPr>
        <sz val="10"/>
        <rFont val="Arial"/>
        <family val="2"/>
      </rPr>
      <t xml:space="preserve"> below.</t>
    </r>
  </si>
  <si>
    <t>Amount of refrigerant (HFC and PFC) emitted over the inventory reporting period</t>
  </si>
  <si>
    <r>
      <rPr>
        <b/>
        <sz val="10"/>
        <rFont val="Arial"/>
        <family val="2"/>
      </rPr>
      <t>Option 1:</t>
    </r>
    <r>
      <rPr>
        <sz val="10"/>
        <rFont val="Arial"/>
        <family val="2"/>
      </rPr>
      <t xml:space="preserve"> The Detailed Material Balance Method is recommended for companies who maintain their own equipment. This method requires data from inventories, purchase and service records, and the full and proper charges of equipment. It includes emissions from equipment operation, servicing, and disposal. </t>
    </r>
  </si>
  <si>
    <r>
      <rPr>
        <b/>
        <sz val="10"/>
        <rFont val="Arial"/>
        <family val="2"/>
      </rPr>
      <t xml:space="preserve">Option 2: </t>
    </r>
    <r>
      <rPr>
        <sz val="10"/>
        <rFont val="Arial"/>
        <family val="2"/>
      </rPr>
      <t>The Simplified Material Balance Method is recommended for companies who have contractors service their HFC/PFC containing equipment. This method tracks emissions from equipment operation, servicing, and disposal. The method requires data on the quantity of refrigerant: (a) used to fill new equipment during installation, (b) used to service equipment, and (c) recovered from retiring equipment, as well as the full and proper charges of new and retiring equipment. If notified in advance of the need for this information, the contractor should be able to provide it.</t>
    </r>
  </si>
  <si>
    <t xml:space="preserve">Emissions from refrigerants in an office-based organization are typically less than 2 percent of emissions.  Consider this as you decide which Option is most appropriate.  </t>
  </si>
  <si>
    <t xml:space="preserve">  (B)  Select ONE of the three options from which to estimate emissions.  Options range from most preferred method</t>
  </si>
  <si>
    <r>
      <t xml:space="preserve">  (A)  HFC, PFC, CO</t>
    </r>
    <r>
      <rPr>
        <vertAlign val="subscript"/>
        <sz val="10"/>
        <rFont val="Arial"/>
        <family val="2"/>
      </rPr>
      <t>2</t>
    </r>
    <r>
      <rPr>
        <sz val="10"/>
        <rFont val="Arial"/>
        <family val="2"/>
      </rPr>
      <t>, and SF</t>
    </r>
    <r>
      <rPr>
        <vertAlign val="subscript"/>
        <sz val="10"/>
        <rFont val="Arial"/>
        <family val="2"/>
      </rPr>
      <t>6</t>
    </r>
    <r>
      <rPr>
        <sz val="10"/>
        <rFont val="Arial"/>
        <family val="2"/>
      </rPr>
      <t xml:space="preserve"> refrigerants from facilities and vehicles are required to be included in the GHG inventory.  Ozone depleting 
         substances, such as CFCs and HCFCs, are regulated internationally and are typically excluded from a GHG inventory or reported 
         as a memo item. </t>
    </r>
  </si>
  <si>
    <t>Amount of fire suppressant (HFC and PFC) emitted over the inventory reporting period</t>
  </si>
  <si>
    <t>If your business makes bulk purchases and plans on using the gas for several years, you should divide the bulk amount by the years of usage and report that amount.</t>
  </si>
  <si>
    <t>Transport Type</t>
  </si>
  <si>
    <t>Tip: If more than one employee travels by the same vehicle type or transport type, miles can be combined and entered in one row.</t>
  </si>
  <si>
    <t xml:space="preserve">Commuting by vehicle-miles is used when the employee is traveling in their own vehicle.  Travel by passenger-mile is used when the employee is traveling in a vehicle shared with many other people (i.e., bus, train or plane).  </t>
  </si>
  <si>
    <t>Commuting days per year (consider vacation, sick time and business travel)</t>
  </si>
  <si>
    <r>
      <t xml:space="preserve">(B) For employees commuting in a personal vehicle, select the "Vehicle Type" and enter miles traveled (vehicle-miles) in </t>
    </r>
    <r>
      <rPr>
        <b/>
        <sz val="10"/>
        <rFont val="Arial"/>
        <family val="2"/>
      </rPr>
      <t>Table 1</t>
    </r>
    <r>
      <rPr>
        <sz val="10"/>
        <rFont val="Arial"/>
        <family val="2"/>
      </rPr>
      <t xml:space="preserve">.  </t>
    </r>
  </si>
  <si>
    <t>Weight transported per shipment for ton-mile calculation</t>
  </si>
  <si>
    <r>
      <rPr>
        <b/>
        <sz val="10"/>
        <rFont val="Arial"/>
        <family val="2"/>
      </rPr>
      <t>Example</t>
    </r>
    <r>
      <rPr>
        <sz val="10"/>
        <rFont val="Arial"/>
        <family val="2"/>
      </rPr>
      <t xml:space="preserve">: Every week a company ships 10 short tons of product 100 miles.  That equates to 52 shipments per year of 1,000 ton-miles each.  The sum of the individual shipments is 52,000 ton-miles per year.  Multiplying the total tons transported (520 tons) by the average miles per shipment (100 miles) provides the correct result of 52,000 ton-miles.  Multiplying the average tons transported per shipment (10 tons) times the total miles (5,200 miles) also gives the correct result.  Multiplying total tons (520 tons) by total miles (5,200 miles) gives an incorrect result. </t>
    </r>
  </si>
  <si>
    <r>
      <t xml:space="preserve">If you do not have shipment-by-shipment data, you may multiply </t>
    </r>
    <r>
      <rPr>
        <b/>
        <sz val="10"/>
        <rFont val="Arial"/>
        <family val="2"/>
      </rPr>
      <t>total</t>
    </r>
    <r>
      <rPr>
        <sz val="10"/>
        <rFont val="Arial"/>
        <family val="2"/>
      </rPr>
      <t xml:space="preserve"> tons transported by the </t>
    </r>
    <r>
      <rPr>
        <b/>
        <sz val="10"/>
        <rFont val="Arial"/>
        <family val="2"/>
      </rPr>
      <t>average</t>
    </r>
    <r>
      <rPr>
        <sz val="10"/>
        <rFont val="Arial"/>
        <family val="2"/>
      </rPr>
      <t xml:space="preserve"> miles per shipment.  You may also multiply </t>
    </r>
    <r>
      <rPr>
        <b/>
        <sz val="10"/>
        <rFont val="Arial"/>
        <family val="2"/>
      </rPr>
      <t>average</t>
    </r>
    <r>
      <rPr>
        <sz val="10"/>
        <rFont val="Arial"/>
        <family val="2"/>
      </rPr>
      <t xml:space="preserve"> tons transported per shipment times the </t>
    </r>
    <r>
      <rPr>
        <b/>
        <sz val="10"/>
        <rFont val="Arial"/>
        <family val="2"/>
      </rPr>
      <t>total</t>
    </r>
    <r>
      <rPr>
        <sz val="10"/>
        <rFont val="Arial"/>
        <family val="2"/>
      </rPr>
      <t xml:space="preserve"> miles transported.  Do not multiply </t>
    </r>
    <r>
      <rPr>
        <b/>
        <sz val="10"/>
        <rFont val="Arial"/>
        <family val="2"/>
      </rPr>
      <t>total</t>
    </r>
    <r>
      <rPr>
        <sz val="10"/>
        <rFont val="Arial"/>
        <family val="2"/>
      </rPr>
      <t xml:space="preserve"> tons by </t>
    </r>
    <r>
      <rPr>
        <b/>
        <sz val="10"/>
        <rFont val="Arial"/>
        <family val="2"/>
      </rPr>
      <t>total</t>
    </r>
    <r>
      <rPr>
        <sz val="10"/>
        <rFont val="Arial"/>
        <family val="2"/>
      </rPr>
      <t xml:space="preserve"> miles, as this will give an incorrect result. </t>
    </r>
  </si>
  <si>
    <t>* Mode of Transportation for each Shipment</t>
  </si>
  <si>
    <t>* Weight of Product Transported for each Shipment</t>
  </si>
  <si>
    <t>* Distance Product Transported for each Shipment</t>
  </si>
  <si>
    <r>
      <t>Total CO</t>
    </r>
    <r>
      <rPr>
        <b/>
        <vertAlign val="subscript"/>
        <sz val="10"/>
        <rFont val="Arial"/>
        <family val="2"/>
      </rPr>
      <t>2</t>
    </r>
    <r>
      <rPr>
        <b/>
        <sz val="10"/>
        <rFont val="Arial"/>
        <family val="2"/>
      </rPr>
      <t xml:space="preserve"> Equivalent Emission Reductions (metric tons) - Offsets</t>
    </r>
  </si>
  <si>
    <t xml:space="preserve"> ID</t>
  </si>
  <si>
    <r>
      <t>Offsets Purchased
(Metric Tons CO</t>
    </r>
    <r>
      <rPr>
        <b/>
        <vertAlign val="subscript"/>
        <sz val="10"/>
        <rFont val="Arial"/>
        <family val="2"/>
      </rPr>
      <t>2</t>
    </r>
    <r>
      <rPr>
        <b/>
        <sz val="10"/>
        <rFont val="Arial"/>
        <family val="2"/>
      </rPr>
      <t>e)</t>
    </r>
  </si>
  <si>
    <t>Project Description</t>
  </si>
  <si>
    <t>Tool Sheet: Unit Conversions</t>
  </si>
  <si>
    <t>Help - Data Management</t>
  </si>
  <si>
    <t>Data Management - HELP SHEET</t>
  </si>
  <si>
    <t>* Floor area (sq ft)</t>
  </si>
  <si>
    <t>* Number of Employees</t>
  </si>
  <si>
    <t>* Open and Close Date of Facility</t>
  </si>
  <si>
    <t>* Monthly Consumption Data by Meter or Facility</t>
  </si>
  <si>
    <t>* Monthly Cost Data by Meter or Facility</t>
  </si>
  <si>
    <t>Stationary Fuel Data (for each Fuel Type)</t>
  </si>
  <si>
    <t>* Miles Traveled by Vehicle</t>
  </si>
  <si>
    <t>* Inventory of Equipment by Facility</t>
  </si>
  <si>
    <t xml:space="preserve">                  - Enter refrigerant capacity (by equipment type and refrigerant) for all units operating and disposed during reporting period.</t>
  </si>
  <si>
    <t>* Refrigerant Capacity of Equipment</t>
  </si>
  <si>
    <t>* Refrigerant Purchase, Inventory, and Disposal Data</t>
  </si>
  <si>
    <t>* Fire Suppressant Capacity of Equipment</t>
  </si>
  <si>
    <t>* Fire Suppressant Purchase, Inventory, and Disposal Data</t>
  </si>
  <si>
    <t xml:space="preserve">  Disposal Data</t>
  </si>
  <si>
    <t>Refrigerant purchase, inventory, and disposal data</t>
  </si>
  <si>
    <t>Inventory of equipment by facility</t>
  </si>
  <si>
    <t>Refrigerant capacity of equipment</t>
  </si>
  <si>
    <t>Fire suppressant purchase, inventory, and disposal data</t>
  </si>
  <si>
    <t>Fire suppressant capacity of equipment</t>
  </si>
  <si>
    <t>* Amount of Gas Purchased</t>
  </si>
  <si>
    <t>* Types of Gas Purchased</t>
  </si>
  <si>
    <t>* Fuel Type Used to Generate Steam</t>
  </si>
  <si>
    <t>* Boiler Efficiency</t>
  </si>
  <si>
    <t>Electricity Emission Factors (System Average)</t>
  </si>
  <si>
    <t>The accuracy of a GHG inventory depends on the accuracy of the activity data.  Here are a few quick checks to make sure your data are realistic.  If any of these checks lead to questions, it is best to review the data month by month to look for data points that are significantly higher or lower than other points. Checking data sources such as utility bills can confirm data entry accuracy.</t>
  </si>
  <si>
    <t xml:space="preserve">Compare your energy consumption data against typical benchmarks. </t>
  </si>
  <si>
    <t xml:space="preserve">2. Does any facility look significantly higher or lower than these averages?  If so, can the difference be explained? </t>
  </si>
  <si>
    <t xml:space="preserve">1. Compare your energy consumption data per square foot of floor area against the averages by building type and region in the tables below.  See below for building type definitions. </t>
  </si>
  <si>
    <t>Calculated Unit Costs</t>
  </si>
  <si>
    <t xml:space="preserve">Calculated unit costs that are out of expected ranges can indicate data entry errors.  </t>
  </si>
  <si>
    <t xml:space="preserve">2. Is the unit cost within expected ranges?  Is it fairly constant month to month?  Keep in mind that very low consumption (such as with heating fuel during the summer) can skew the unit cost due to fixed monthly fees.  </t>
  </si>
  <si>
    <t>1. Use the cost and consumption data entered into your data management file to calculate the cost per unit of consumption for each month and each emissions source.</t>
  </si>
  <si>
    <t>3. If the calculated unit cost is not reasonable, is there an error in either the consumption data or the cost data?</t>
  </si>
  <si>
    <t xml:space="preserve">                  - Choose the appropriate gas from the drop down menu.</t>
  </si>
  <si>
    <t>- These should be expressed in lb / mmBtu of Steam.  Heat Content conversions can be found on the "Heat Content" sheet.</t>
  </si>
  <si>
    <t>- Boiler Efficiency is not necessary if emission factors are available.</t>
  </si>
  <si>
    <t>Medium- and Heavy-Duty Truck</t>
  </si>
  <si>
    <t>Stationary Combustion Emission Factors (Used for Steam and Stationary Combustion)</t>
  </si>
  <si>
    <t>A List of Facilities and Attributes</t>
  </si>
  <si>
    <t>Year Over Year Comparison</t>
  </si>
  <si>
    <t>Other 2-axle, 4-Tire Vehicles</t>
  </si>
  <si>
    <t>Single unit 2-Axle 6-Tire or More Trucks</t>
  </si>
  <si>
    <r>
      <t>CO</t>
    </r>
    <r>
      <rPr>
        <b/>
        <vertAlign val="subscript"/>
        <sz val="10"/>
        <rFont val="Arial"/>
        <family val="2"/>
      </rPr>
      <t>2</t>
    </r>
    <r>
      <rPr>
        <b/>
        <sz val="10"/>
        <rFont val="Arial"/>
        <family val="2"/>
      </rPr>
      <t xml:space="preserve"> Emission Factor 
(kg CO</t>
    </r>
    <r>
      <rPr>
        <b/>
        <vertAlign val="subscript"/>
        <sz val="10"/>
        <rFont val="Arial"/>
        <family val="2"/>
      </rPr>
      <t>2</t>
    </r>
    <r>
      <rPr>
        <b/>
        <sz val="10"/>
        <rFont val="Arial"/>
        <family val="2"/>
      </rPr>
      <t xml:space="preserve"> / unit)</t>
    </r>
  </si>
  <si>
    <t>Gas
GWP</t>
  </si>
  <si>
    <t>Source
ID</t>
  </si>
  <si>
    <t>Source
Description</t>
  </si>
  <si>
    <t>Do you purchase any industrial gases for use in your business?  These gases may be purchased for use in manufacturing, testing, or laboratories.</t>
  </si>
  <si>
    <r>
      <t xml:space="preserve">                  - See example entry in first row (</t>
    </r>
    <r>
      <rPr>
        <i/>
        <sz val="10"/>
        <color indexed="21"/>
        <rFont val="Arial"/>
        <family val="2"/>
      </rPr>
      <t>GREEN Italics</t>
    </r>
    <r>
      <rPr>
        <sz val="10"/>
        <rFont val="Arial"/>
        <family val="2"/>
      </rPr>
      <t>).</t>
    </r>
  </si>
  <si>
    <t>50.5% HFC-125, 47% HFC-134a, 2.5% butane/pentane</t>
  </si>
  <si>
    <t>5.1% HFC-125, 93% HFC-134a, 1.9% butane/pentane</t>
  </si>
  <si>
    <t>63.2% HFC-125, 16% HFC-134a, 18% HFC-143a, 2.8% isobutane</t>
  </si>
  <si>
    <r>
      <t>NF</t>
    </r>
    <r>
      <rPr>
        <vertAlign val="subscript"/>
        <sz val="10"/>
        <rFont val="Arial"/>
        <family val="2"/>
      </rPr>
      <t>3</t>
    </r>
  </si>
  <si>
    <r>
      <rPr>
        <sz val="10"/>
        <rFont val="Arial"/>
        <family val="2"/>
      </rPr>
      <t xml:space="preserve">(C)  </t>
    </r>
    <r>
      <rPr>
        <u/>
        <sz val="10"/>
        <rFont val="Arial"/>
        <family val="2"/>
      </rPr>
      <t>Preferred Method</t>
    </r>
    <r>
      <rPr>
        <sz val="10"/>
        <rFont val="Arial"/>
        <family val="2"/>
      </rPr>
      <t xml:space="preserve"> (steam emission factors ARE available from your supplier). Example entry is shown in first data row (</t>
    </r>
    <r>
      <rPr>
        <i/>
        <sz val="10"/>
        <color indexed="21"/>
        <rFont val="Arial"/>
        <family val="2"/>
      </rPr>
      <t>GREEN Italics</t>
    </r>
    <r>
      <rPr>
        <sz val="10"/>
        <rFont val="Arial"/>
        <family val="2"/>
      </rPr>
      <t>).</t>
    </r>
  </si>
  <si>
    <r>
      <rPr>
        <sz val="10"/>
        <rFont val="Arial"/>
        <family val="2"/>
      </rPr>
      <t xml:space="preserve">(D)  </t>
    </r>
    <r>
      <rPr>
        <u/>
        <sz val="10"/>
        <rFont val="Arial"/>
        <family val="2"/>
      </rPr>
      <t>Alternative Method</t>
    </r>
    <r>
      <rPr>
        <sz val="10"/>
        <rFont val="Arial"/>
        <family val="2"/>
      </rPr>
      <t xml:space="preserve"> (supplier-specific emission factors are NOT available). Example entry is shown in second data row (</t>
    </r>
    <r>
      <rPr>
        <i/>
        <sz val="10"/>
        <color indexed="30"/>
        <rFont val="Arial"/>
        <family val="2"/>
      </rPr>
      <t>BLUE Italics</t>
    </r>
    <r>
      <rPr>
        <sz val="10"/>
        <rFont val="Arial"/>
        <family val="2"/>
      </rPr>
      <t>).</t>
    </r>
  </si>
  <si>
    <r>
      <t xml:space="preserve">1.  GWPs are from </t>
    </r>
    <r>
      <rPr>
        <i/>
        <sz val="8"/>
        <rFont val="Arial"/>
        <family val="2"/>
      </rPr>
      <t xml:space="preserve">Intergovernmental Panel on Climate Change (IPCC) Fourth Assessment Report (2007).  </t>
    </r>
  </si>
  <si>
    <r>
      <t>Industrial gases are sometimes used in processes such as manufacturing, testing, or laboratory uses.  For example, CO</t>
    </r>
    <r>
      <rPr>
        <vertAlign val="subscript"/>
        <sz val="10"/>
        <rFont val="Arial"/>
        <family val="2"/>
      </rPr>
      <t>2</t>
    </r>
    <r>
      <rPr>
        <sz val="10"/>
        <rFont val="Arial"/>
        <family val="2"/>
      </rPr>
      <t xml:space="preserve"> gas is often used in welding operations.  These gases are typically released to the atmosphere after use.  Any releases of the seven major greenhouse gases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6</t>
    </r>
    <r>
      <rPr>
        <sz val="10"/>
        <rFont val="Arial"/>
        <family val="2"/>
      </rPr>
      <t>, and NF</t>
    </r>
    <r>
      <rPr>
        <vertAlign val="subscript"/>
        <sz val="10"/>
        <rFont val="Arial"/>
        <family val="2"/>
      </rPr>
      <t>3</t>
    </r>
    <r>
      <rPr>
        <sz val="10"/>
        <rFont val="Arial"/>
        <family val="2"/>
      </rPr>
      <t>) must be included in the GHG inventory.  Ozone depleting substances, such as CFCs and HCFCs, are regulated internationally and are typically excluded from a GHG inventory or reported as a memo item.</t>
    </r>
  </si>
  <si>
    <r>
      <t xml:space="preserve">2.  GWPs are from </t>
    </r>
    <r>
      <rPr>
        <i/>
        <sz val="8"/>
        <rFont val="Arial"/>
        <family val="2"/>
      </rPr>
      <t xml:space="preserve">Intergovernmental Panel on Climate Change (IPCC) Fourth Assessment Report (2007).  </t>
    </r>
  </si>
  <si>
    <r>
      <t>(C) Biomass CO</t>
    </r>
    <r>
      <rPr>
        <vertAlign val="subscript"/>
        <sz val="10"/>
        <rFont val="Arial"/>
        <family val="2"/>
      </rPr>
      <t>2</t>
    </r>
    <r>
      <rPr>
        <sz val="10"/>
        <rFont val="Arial"/>
        <family val="2"/>
      </rPr>
      <t xml:space="preserve"> emissions are not reported in the total emissions, but are reported separately at the bottom of the sheet.</t>
    </r>
  </si>
  <si>
    <t xml:space="preserve">   (B) If fuel is consumed in a facility but stationary fuel consumption data are not available, an estimate should be made 
         for completeness.  See the "Items to Note" section of the Help sheet for suggested estimation approaches. </t>
  </si>
  <si>
    <t>Area (sq ft)</t>
  </si>
  <si>
    <t>Source
Area (sq ft)</t>
  </si>
  <si>
    <t>Efficiency</t>
  </si>
  <si>
    <t>MM/DD/YY</t>
  </si>
  <si>
    <r>
      <t xml:space="preserve">   (A) Enter annual data for each combustion unit, facility, or site (by fuel type) in ORANGE cells on </t>
    </r>
    <r>
      <rPr>
        <b/>
        <sz val="10"/>
        <rFont val="Arial"/>
        <family val="2"/>
      </rPr>
      <t>Table 1</t>
    </r>
    <r>
      <rPr>
        <sz val="10"/>
        <rFont val="Arial"/>
        <family val="2"/>
      </rPr>
      <t>.</t>
    </r>
    <r>
      <rPr>
        <b/>
        <sz val="10"/>
        <rFont val="Arial"/>
        <family val="2"/>
      </rPr>
      <t xml:space="preserve"> </t>
    </r>
    <r>
      <rPr>
        <sz val="10"/>
        <rFont val="Arial"/>
        <family val="2"/>
      </rPr>
      <t xml:space="preserve"> Example 
         entry is shown in first row (</t>
    </r>
    <r>
      <rPr>
        <i/>
        <sz val="10"/>
        <color indexed="21"/>
        <rFont val="Arial"/>
        <family val="2"/>
      </rPr>
      <t>GREEN Italics</t>
    </r>
    <r>
      <rPr>
        <sz val="10"/>
        <rFont val="Arial"/>
        <family val="2"/>
      </rPr>
      <t>).</t>
    </r>
  </si>
  <si>
    <t xml:space="preserve">  (C)  Enter annual data in ORANGE cells as appropriate for the selected option.</t>
  </si>
  <si>
    <t xml:space="preserve">  (B) Select the gas you purchase from the drop down menu and the amount purchased for the annual inventory reporting period in the 
        ORANGE cells. </t>
  </si>
  <si>
    <r>
      <t>(A) Enter annual data in ORANGE cells in the table corresponding to the transport method.  Example entry is shown in first row (</t>
    </r>
    <r>
      <rPr>
        <i/>
        <sz val="10"/>
        <color indexed="21"/>
        <rFont val="Arial"/>
        <family val="2"/>
      </rPr>
      <t>GREEN Italics</t>
    </r>
    <r>
      <rPr>
        <sz val="10"/>
        <rFont val="Arial"/>
        <family val="2"/>
      </rPr>
      <t>).</t>
    </r>
  </si>
  <si>
    <r>
      <t>CO</t>
    </r>
    <r>
      <rPr>
        <vertAlign val="subscript"/>
        <sz val="11"/>
        <rFont val="Arial"/>
        <family val="2"/>
      </rPr>
      <t>2</t>
    </r>
    <r>
      <rPr>
        <sz val="11"/>
        <rFont val="Arial"/>
        <family val="2"/>
      </rPr>
      <t>-e (metric tons)</t>
    </r>
  </si>
  <si>
    <r>
      <t>Biomass CO</t>
    </r>
    <r>
      <rPr>
        <vertAlign val="subscript"/>
        <sz val="11"/>
        <rFont val="Arial"/>
        <family val="2"/>
      </rPr>
      <t xml:space="preserve">2 </t>
    </r>
    <r>
      <rPr>
        <sz val="11"/>
        <rFont val="Arial"/>
        <family val="2"/>
      </rPr>
      <t>Emissions from Stationary Sources</t>
    </r>
  </si>
  <si>
    <r>
      <t>Biomass CO</t>
    </r>
    <r>
      <rPr>
        <vertAlign val="subscript"/>
        <sz val="11"/>
        <rFont val="Arial"/>
        <family val="2"/>
      </rPr>
      <t>2</t>
    </r>
    <r>
      <rPr>
        <sz val="11"/>
        <rFont val="Arial"/>
        <family val="2"/>
      </rPr>
      <t xml:space="preserve"> Emissions from Mobile Sources</t>
    </r>
  </si>
  <si>
    <t xml:space="preserve">Start: </t>
  </si>
  <si>
    <t>End:</t>
  </si>
  <si>
    <r>
      <t xml:space="preserve">(1) </t>
    </r>
    <r>
      <rPr>
        <b/>
        <sz val="11"/>
        <rFont val="Arial"/>
        <family val="2"/>
      </rPr>
      <t>DEFINE</t>
    </r>
    <r>
      <rPr>
        <sz val="11"/>
        <rFont val="Arial"/>
        <family val="2"/>
      </rPr>
      <t xml:space="preserve">: The first step in completing a GHG inventory is to determine the boundaries and emissions sources included within those boundaries. After you have defined your organizational and operational boundaries, you can use the questions on the "Boundary Questions" worksheet to help you determine which emissions sources are relevant to your business.  </t>
    </r>
  </si>
  <si>
    <r>
      <t xml:space="preserve">(2) </t>
    </r>
    <r>
      <rPr>
        <b/>
        <sz val="11"/>
        <rFont val="Arial"/>
        <family val="2"/>
      </rPr>
      <t>COLLECT</t>
    </r>
    <r>
      <rPr>
        <sz val="11"/>
        <rFont val="Arial"/>
        <family val="2"/>
      </rPr>
      <t xml:space="preserve">: The second step is to collect data for the defined annual period. This step is typically the most time consuming, since the data can be difficult to gather. This Calculator has help sheets with suggestions and guidance for each emissions source and a general help sheet for data management. </t>
    </r>
    <r>
      <rPr>
        <b/>
        <sz val="11"/>
        <rFont val="Arial"/>
        <family val="2"/>
      </rPr>
      <t>Click the drop down menu boxes below to navigate to these sheets</t>
    </r>
    <r>
      <rPr>
        <sz val="11"/>
        <rFont val="Arial"/>
        <family val="2"/>
      </rPr>
      <t xml:space="preserve">. </t>
    </r>
  </si>
  <si>
    <r>
      <t xml:space="preserve">(3) </t>
    </r>
    <r>
      <rPr>
        <b/>
        <sz val="11"/>
        <rFont val="Arial"/>
        <family val="2"/>
      </rPr>
      <t>QUANTIFY</t>
    </r>
    <r>
      <rPr>
        <sz val="11"/>
        <rFont val="Arial"/>
        <family val="2"/>
      </rPr>
      <t xml:space="preserve">: The third step is to calculate emissions. </t>
    </r>
    <r>
      <rPr>
        <sz val="11"/>
        <rFont val="Arial"/>
        <family val="2"/>
      </rPr>
      <t xml:space="preserve">This Calculator is designed to complete the emissions quantification step for you. Once the user enters data in this MS Excel spreadsheet, the emissions will be calculated and totaled on the "Summary" sheet. </t>
    </r>
    <r>
      <rPr>
        <b/>
        <sz val="10"/>
        <color indexed="10"/>
        <rFont val="Arial"/>
        <family val="2"/>
      </rPr>
      <t/>
    </r>
  </si>
  <si>
    <t>Calculator Guidance - Important Information</t>
  </si>
  <si>
    <t xml:space="preserve">  (C) Data must be entered in the units specified on the data entry sheets. Use the "Unit Conversions" or "Heat Content" sheets if unit 
         conversion is necessary prior to entering data into the Calculator.</t>
  </si>
  <si>
    <t xml:space="preserve">  (D) If more guidance is needed, you can reference the emission factor data sources found on the "Emission Factors" sheet.</t>
  </si>
  <si>
    <t>Calculator Notes</t>
  </si>
  <si>
    <t>Use the questions below to help you determine which emissions sources should be included in the inventory.</t>
  </si>
  <si>
    <t>Do you have facilities that burn fuels on-site (e.g., natural gas, propane, coal, fuel oil for heating, diesel fuel for backup generators, biomass fuels)?</t>
  </si>
  <si>
    <t>If you answer "yes" to a question below, that emissions source should be included in your inventory. For each facility within the defined organizational boundary, collect the necessary data for the selected time period. Use the corresponding Excel sheet to quantify these emissions.</t>
  </si>
  <si>
    <t>Do your employees commute to work in personal vehicles or use public transportation?</t>
  </si>
  <si>
    <r>
      <t>By entering the data below into the appropriate cell of the</t>
    </r>
    <r>
      <rPr>
        <i/>
        <sz val="11"/>
        <rFont val="Arial"/>
        <family val="2"/>
      </rPr>
      <t xml:space="preserve"> Annual GHG Inventory Summary and Goal Tracking Form,</t>
    </r>
    <r>
      <rPr>
        <sz val="11"/>
        <rFont val="Arial"/>
        <family val="2"/>
      </rPr>
      <t xml:space="preserve"> you will be able to compare multiple years of data.</t>
    </r>
  </si>
  <si>
    <t xml:space="preserve">    (B) The "Go To Sheet" buttons can be used to navigate to the data entry sheets. </t>
  </si>
  <si>
    <t>Organization Name:</t>
  </si>
  <si>
    <t>Organization Address:</t>
  </si>
  <si>
    <t>Organizational Information:</t>
  </si>
  <si>
    <t>Summary of Organization's Emissions:</t>
  </si>
  <si>
    <t>Liquefied Petroleum Gas (LPG)</t>
  </si>
  <si>
    <t xml:space="preserve">                    supplier), disposed units were disposed of during the reporting period, and existing units are all others.</t>
  </si>
  <si>
    <r>
      <t xml:space="preserve">                  - See example entry in first row (</t>
    </r>
    <r>
      <rPr>
        <i/>
        <sz val="10"/>
        <color indexed="21"/>
        <rFont val="Arial"/>
        <family val="2"/>
      </rPr>
      <t>Green Italics</t>
    </r>
    <r>
      <rPr>
        <sz val="10"/>
        <rFont val="Arial"/>
        <family val="2"/>
      </rPr>
      <t>).</t>
    </r>
  </si>
  <si>
    <r>
      <t>(A) Enter annual data in ORANGE cells in the table corresponding to the transport method.  Example entry is shown in first row (</t>
    </r>
    <r>
      <rPr>
        <i/>
        <sz val="10"/>
        <color indexed="57"/>
        <rFont val="Arial"/>
        <family val="2"/>
      </rPr>
      <t>GREEN Italics</t>
    </r>
    <r>
      <rPr>
        <sz val="10"/>
        <rFont val="Arial"/>
        <family val="2"/>
      </rPr>
      <t>).</t>
    </r>
  </si>
  <si>
    <t>www.fueleconomy.gov</t>
  </si>
  <si>
    <r>
      <t>Determine which of the three options is suitable for your business and enter the data into the appropriate orange colored boxes of the Calculator section titled “Refrigeration and AC.”  Once the data are entered into the Calculator, the CO</t>
    </r>
    <r>
      <rPr>
        <vertAlign val="subscript"/>
        <sz val="10"/>
        <rFont val="Arial"/>
        <family val="2"/>
      </rPr>
      <t>2</t>
    </r>
    <r>
      <rPr>
        <sz val="10"/>
        <rFont val="Arial"/>
        <family val="2"/>
      </rPr>
      <t xml:space="preserve"> equivalent emissions are calculated and summarized in the blue colored box.</t>
    </r>
  </si>
  <si>
    <r>
      <t>Enter the data into the appropriate orange colored boxes of the Calculator section titled “Fire Suppression.”  Once the data are entered into the Calculator, the CO</t>
    </r>
    <r>
      <rPr>
        <vertAlign val="subscript"/>
        <sz val="10"/>
        <rFont val="Arial"/>
        <family val="2"/>
      </rPr>
      <t>2</t>
    </r>
    <r>
      <rPr>
        <sz val="10"/>
        <rFont val="Arial"/>
        <family val="2"/>
      </rPr>
      <t xml:space="preserve"> equivalent emissions are calculated and summarized in the blue colored box. </t>
    </r>
  </si>
  <si>
    <r>
      <t>Enter the data into the appropriate orange colored boxes of the Calculator section titled “Gas.”  Once the data are entered into the Calculator, the CO</t>
    </r>
    <r>
      <rPr>
        <vertAlign val="subscript"/>
        <sz val="10"/>
        <rFont val="Arial"/>
        <family val="2"/>
      </rPr>
      <t>2</t>
    </r>
    <r>
      <rPr>
        <sz val="10"/>
        <rFont val="Arial"/>
        <family val="2"/>
      </rPr>
      <t xml:space="preserve"> equivalent emissions are calculated and summarized in the blue colored box. </t>
    </r>
  </si>
  <si>
    <t xml:space="preserve">Employee commuting emissions differ from the required mobile source emission reporting in that they account for employee travel to and from work in vehicles not owned or leased by the organization, including personal vehicles, buses, and trains.  </t>
  </si>
  <si>
    <r>
      <t>After the data has been collected, enter the data into the appropriate orange colored boxes (Tables 1-2) of the Calculator section titled “Commuting.”  Once the data are entered into the Calculator, the CO</t>
    </r>
    <r>
      <rPr>
        <vertAlign val="subscript"/>
        <sz val="10"/>
        <rFont val="Arial"/>
        <family val="2"/>
      </rPr>
      <t>2</t>
    </r>
    <r>
      <rPr>
        <sz val="10"/>
        <rFont val="Arial"/>
        <family val="2"/>
      </rPr>
      <t xml:space="preserve"> equivalent emissions are calculated and summarized in the green colored box.</t>
    </r>
  </si>
  <si>
    <t xml:space="preserve">If collecting data from all your employees is not possible due to the size of your organization, you may collect data from as many employees as possible, and use that sample to estimate for the rest of the employees.  Make sure the sample size is adequate, and keep in mind this will calculate less accurate results. </t>
  </si>
  <si>
    <r>
      <t>Enter the data into the appropriate orange colored boxes (Table 1) of the Calculator section titled "Offsets.”  Once the data are entered into the Calculator, the CO</t>
    </r>
    <r>
      <rPr>
        <vertAlign val="subscript"/>
        <sz val="10"/>
        <rFont val="Arial"/>
        <family val="2"/>
      </rPr>
      <t>2</t>
    </r>
    <r>
      <rPr>
        <sz val="10"/>
        <rFont val="Arial"/>
        <family val="2"/>
      </rPr>
      <t xml:space="preserve"> equivalent emissions are summarized in the green colored box.</t>
    </r>
  </si>
  <si>
    <t xml:space="preserve">  (B) This Calculator has several "Tool Sheets" with useful reference data such as unit conversions, heat contents, and emission factors.  
         Click on the buttons below to go to the appropriate Tool Sheet.</t>
  </si>
  <si>
    <r>
      <t xml:space="preserve">  (A)  HFC, PFC, and CO</t>
    </r>
    <r>
      <rPr>
        <vertAlign val="subscript"/>
        <sz val="10"/>
        <rFont val="Arial"/>
        <family val="2"/>
      </rPr>
      <t xml:space="preserve">2 </t>
    </r>
    <r>
      <rPr>
        <sz val="10"/>
        <rFont val="Arial"/>
        <family val="2"/>
      </rPr>
      <t xml:space="preserve">fire suppressants are required to be included in the GHG inventory.  Other fire suppressants such as 
         Halon compounds, HCFCs, aqueous solutions, or inert gases are typically excluded from a GHG inventory. </t>
    </r>
  </si>
  <si>
    <t xml:space="preserve">  (C)  Select "eGRID subregion" from drop box and enter "Electricity Purchased."</t>
  </si>
  <si>
    <t>https://www.epa.gov/climateleadership/center-corporate-climate-leadership-greenhouse-gas-inventory-guidance</t>
  </si>
  <si>
    <t>Scope 1 Emissions</t>
  </si>
  <si>
    <t>Scope 3 Emissions</t>
  </si>
  <si>
    <t>Market-Based</t>
  </si>
  <si>
    <t>Mixed (Electric Power Sector)</t>
  </si>
  <si>
    <t>Coal Coke</t>
  </si>
  <si>
    <t>Distillate Fuel Oil No. 2</t>
  </si>
  <si>
    <t>Residual Fuel Oil No. 6</t>
  </si>
  <si>
    <t>Wood and Wood Residuals</t>
  </si>
  <si>
    <t>Liquefied Petroleum Gases (LPG)</t>
  </si>
  <si>
    <t>Landfill Gas</t>
  </si>
  <si>
    <t>Residual Fuel Oil</t>
  </si>
  <si>
    <t>Ethanol (100%)</t>
  </si>
  <si>
    <t>Biodiesel (100%)</t>
  </si>
  <si>
    <t>Kerosene-Type Jet Fuel</t>
  </si>
  <si>
    <r>
      <t>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for Non-Road Vehicles</t>
    </r>
  </si>
  <si>
    <r>
      <t>CH</t>
    </r>
    <r>
      <rPr>
        <b/>
        <vertAlign val="subscript"/>
        <sz val="10"/>
        <rFont val="Arial"/>
        <family val="2"/>
      </rPr>
      <t xml:space="preserve">4 </t>
    </r>
    <r>
      <rPr>
        <b/>
        <sz val="10"/>
        <rFont val="Arial"/>
        <family val="2"/>
      </rPr>
      <t xml:space="preserve">Factor 
(g / gallon) </t>
    </r>
  </si>
  <si>
    <r>
      <t>N</t>
    </r>
    <r>
      <rPr>
        <b/>
        <vertAlign val="subscript"/>
        <sz val="10"/>
        <rFont val="Arial"/>
        <family val="2"/>
      </rPr>
      <t>2</t>
    </r>
    <r>
      <rPr>
        <b/>
        <sz val="10"/>
        <rFont val="Arial"/>
        <family val="2"/>
      </rPr>
      <t xml:space="preserve">O Factor 
(g / gallon) </t>
    </r>
  </si>
  <si>
    <t>&gt;7,500</t>
  </si>
  <si>
    <t>Gasoline Motorcycles</t>
  </si>
  <si>
    <t>1960-1995</t>
  </si>
  <si>
    <t>Leak Rate</t>
  </si>
  <si>
    <t>HFC-41</t>
  </si>
  <si>
    <t>HFC-134</t>
  </si>
  <si>
    <t>HFC-143</t>
  </si>
  <si>
    <t>HFC-152</t>
  </si>
  <si>
    <t>HFC-161</t>
  </si>
  <si>
    <t>HFC-236cb</t>
  </si>
  <si>
    <t>HFC-236ea</t>
  </si>
  <si>
    <t>HFC-245ca</t>
  </si>
  <si>
    <t>HFC-245fa</t>
  </si>
  <si>
    <t>HFC-365mfc</t>
  </si>
  <si>
    <t>HFC-43-10mee</t>
  </si>
  <si>
    <r>
      <t>C</t>
    </r>
    <r>
      <rPr>
        <vertAlign val="subscript"/>
        <sz val="10"/>
        <rFont val="Arial"/>
        <family val="2"/>
      </rPr>
      <t>10</t>
    </r>
    <r>
      <rPr>
        <sz val="10"/>
        <rFont val="Arial"/>
        <family val="2"/>
      </rPr>
      <t>F</t>
    </r>
    <r>
      <rPr>
        <vertAlign val="subscript"/>
        <sz val="10"/>
        <rFont val="Arial"/>
        <family val="2"/>
      </rPr>
      <t>18</t>
    </r>
  </si>
  <si>
    <t>R-401A</t>
  </si>
  <si>
    <t>R-401B</t>
  </si>
  <si>
    <t>R-401C</t>
  </si>
  <si>
    <t>R-402A</t>
  </si>
  <si>
    <t>R-402B</t>
  </si>
  <si>
    <t>R-403B</t>
  </si>
  <si>
    <t>R-404A</t>
  </si>
  <si>
    <t>R-406A</t>
  </si>
  <si>
    <t>R-407A</t>
  </si>
  <si>
    <t>R-407B</t>
  </si>
  <si>
    <t>R-407C</t>
  </si>
  <si>
    <t>R-407D</t>
  </si>
  <si>
    <t>R-407E</t>
  </si>
  <si>
    <t>R-408A</t>
  </si>
  <si>
    <t>R-409A</t>
  </si>
  <si>
    <t>R-410A</t>
  </si>
  <si>
    <t>R-410B</t>
  </si>
  <si>
    <t>R-411A</t>
  </si>
  <si>
    <t>R-411B</t>
  </si>
  <si>
    <t>R-413A</t>
  </si>
  <si>
    <t>R-414A</t>
  </si>
  <si>
    <t>R-414B</t>
  </si>
  <si>
    <t>R-417A</t>
  </si>
  <si>
    <t>R-422A</t>
  </si>
  <si>
    <t>R-422D</t>
  </si>
  <si>
    <t>R-423A</t>
  </si>
  <si>
    <t>R-424A</t>
  </si>
  <si>
    <t>R-426A</t>
  </si>
  <si>
    <t>R-428A</t>
  </si>
  <si>
    <t>R-434A</t>
  </si>
  <si>
    <t>R-500</t>
  </si>
  <si>
    <t>R-502</t>
  </si>
  <si>
    <t>R-504</t>
  </si>
  <si>
    <t>R-507</t>
  </si>
  <si>
    <t>R-508A</t>
  </si>
  <si>
    <t>R-508B</t>
  </si>
  <si>
    <r>
      <t>Determine if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 xml:space="preserve">6 </t>
    </r>
    <r>
      <rPr>
        <sz val="10"/>
        <rFont val="Arial"/>
        <family val="2"/>
      </rPr>
      <t>or</t>
    </r>
    <r>
      <rPr>
        <vertAlign val="subscript"/>
        <sz val="10"/>
        <rFont val="Arial"/>
        <family val="2"/>
      </rPr>
      <t xml:space="preserve"> </t>
    </r>
    <r>
      <rPr>
        <sz val="10"/>
        <rFont val="Arial"/>
        <family val="2"/>
      </rPr>
      <t>NF</t>
    </r>
    <r>
      <rPr>
        <vertAlign val="subscript"/>
        <sz val="10"/>
        <rFont val="Arial"/>
        <family val="2"/>
      </rPr>
      <t>3</t>
    </r>
    <r>
      <rPr>
        <sz val="10"/>
        <rFont val="Arial"/>
        <family val="2"/>
      </rPr>
      <t xml:space="preserve"> are used in processes such as those mentioned above.  If so, collect the mass of gas purchased.  If data are not available in mass units, the user may need to convert from volume to mass using the density of the specific gas.</t>
    </r>
  </si>
  <si>
    <t xml:space="preserve">                      -- Gas purchased includes:  Purchases for inventory, as part of equipment servicing (not from inventory),</t>
  </si>
  <si>
    <t xml:space="preserve">                         within purchased equipment, and gas returned to the site after off-site recycling.</t>
  </si>
  <si>
    <t>Scope 1 Emissions from Stationary Combustion Sources</t>
  </si>
  <si>
    <t>Scope 1 Emissions from Mobile Sources</t>
  </si>
  <si>
    <t>Scope 1 Emissions from Refrigeration and Air Conditioning Equipment</t>
  </si>
  <si>
    <t>Scope 1 Emissions from Fire Suppression Equipment</t>
  </si>
  <si>
    <t>Scope 1 Emissions from Purchased Gases</t>
  </si>
  <si>
    <t>Scope 2 Emissions from Purchase of Electricity</t>
  </si>
  <si>
    <t>Scope 2 Emissions from Purchase of Steam</t>
  </si>
  <si>
    <t>Scope 3 Emissions from Employee Business Travel</t>
  </si>
  <si>
    <t>Emission Factors</t>
  </si>
  <si>
    <t>(lb/MWh)</t>
  </si>
  <si>
    <t>&lt;enter factor&gt;</t>
  </si>
  <si>
    <t>Location-Based</t>
  </si>
  <si>
    <t>where electricity is consumed</t>
  </si>
  <si>
    <r>
      <t>CO</t>
    </r>
    <r>
      <rPr>
        <b/>
        <vertAlign val="subscript"/>
        <sz val="10"/>
        <rFont val="Arial"/>
        <family val="2"/>
      </rPr>
      <t>2</t>
    </r>
    <r>
      <rPr>
        <b/>
        <sz val="10"/>
        <rFont val="Arial"/>
        <family val="2"/>
      </rPr>
      <t xml:space="preserve"> Equivalent Emissions  (metric tons)</t>
    </r>
  </si>
  <si>
    <t>Location-Based Electricity Emissions</t>
  </si>
  <si>
    <t>Market-Based Electricity Emissions</t>
  </si>
  <si>
    <t xml:space="preserve">     - Indirect Emissions from Purchased Electricity (January 2016).</t>
  </si>
  <si>
    <t>Scope 2 Emissions from Purchase of Electricity - HELP SHEET</t>
  </si>
  <si>
    <t>Scope 1 Emissions from Stationary Combustion Sources - HELP SHEET</t>
  </si>
  <si>
    <t>Scope 1 Emissions from Mobile Sources - HELP SHEET</t>
  </si>
  <si>
    <t>Scope 1 Emissions from Refrigeration and Air Conditioning Equipment - HELP SHEET</t>
  </si>
  <si>
    <t>Scope 1 Emissions from Fire Suppression Equipment - HELP SHEET</t>
  </si>
  <si>
    <t>Scope 1 Emissions from Purchased Gases - HELP SHEET</t>
  </si>
  <si>
    <t>Scope 2 Emissions from Purchase of Steam - HELP SHEET</t>
  </si>
  <si>
    <t>Scope 3 Emissions from Employee Business Travel - HELP SHEET</t>
  </si>
  <si>
    <t>Scope 3 Emissions from Employee Commuting - HELP SHEET</t>
  </si>
  <si>
    <t xml:space="preserve">Amount of electricity purchased using contractual arrangements </t>
  </si>
  <si>
    <r>
      <t>Emission factors (CO</t>
    </r>
    <r>
      <rPr>
        <vertAlign val="subscript"/>
        <sz val="10"/>
        <rFont val="Arial"/>
        <family val="2"/>
      </rPr>
      <t>2</t>
    </r>
    <r>
      <rPr>
        <sz val="10"/>
        <rFont val="Arial"/>
        <family val="2"/>
      </rPr>
      <t>, CH</t>
    </r>
    <r>
      <rPr>
        <vertAlign val="subscript"/>
        <sz val="10"/>
        <rFont val="Arial"/>
        <family val="2"/>
      </rPr>
      <t>4</t>
    </r>
    <r>
      <rPr>
        <sz val="10"/>
        <rFont val="Arial"/>
        <family val="2"/>
      </rPr>
      <t xml:space="preserve"> and N</t>
    </r>
    <r>
      <rPr>
        <vertAlign val="subscript"/>
        <sz val="10"/>
        <rFont val="Arial"/>
        <family val="2"/>
      </rPr>
      <t>2</t>
    </r>
    <r>
      <rPr>
        <sz val="10"/>
        <rFont val="Arial"/>
        <family val="2"/>
      </rPr>
      <t>O) for contractual arrangements</t>
    </r>
  </si>
  <si>
    <t xml:space="preserve">There are two methods to quantify emissions from electricity: location-based and market-based.  Both must be quantified to be in accordance with the Center for Corporate Climate Leadership Greenhouse Gas Inventory Guidance.  </t>
  </si>
  <si>
    <t xml:space="preserve">  (B) If electricity consumption data are not available for a facility, an estimate should be made for completeness.  
        See the "Items to Note" section of the Help sheet for suggested estimation approaches. </t>
  </si>
  <si>
    <t xml:space="preserve">Refer to the Greenhouse Gas Inventory Guidance: Indirect Emissions from Purchased Electricity Guidance for more information. </t>
  </si>
  <si>
    <t>Quality Criteria for Contractual Instruments</t>
  </si>
  <si>
    <t>All contractual instruments used in the market-based method must meet the following criteria:</t>
  </si>
  <si>
    <t xml:space="preserve">  (1)  Convey the direct GHG emission rate attribute associated with the unit of electricity produced.</t>
  </si>
  <si>
    <t xml:space="preserve">  (4)  Have a vintage that matches as closely as possible to the date of the reporting period to which the instruments are 
        applied.  The vintage of the instrument is based on the date of the energy generation that the instrument represents.  </t>
  </si>
  <si>
    <r>
      <t xml:space="preserve">Market-Based
</t>
    </r>
    <r>
      <rPr>
        <i/>
        <sz val="10"/>
        <rFont val="Arial"/>
        <family val="2"/>
      </rPr>
      <t>Use these cells to enter contractual or supplier specific emission factors</t>
    </r>
  </si>
  <si>
    <r>
      <t>CO</t>
    </r>
    <r>
      <rPr>
        <b/>
        <vertAlign val="subscript"/>
        <sz val="10"/>
        <rFont val="Arial"/>
        <family val="2"/>
      </rPr>
      <t>2</t>
    </r>
    <r>
      <rPr>
        <b/>
        <sz val="10"/>
        <rFont val="Arial"/>
        <family val="2"/>
      </rPr>
      <t xml:space="preserve"> Factor 
(kg / mmBtu)</t>
    </r>
  </si>
  <si>
    <r>
      <t>CO</t>
    </r>
    <r>
      <rPr>
        <b/>
        <vertAlign val="subscript"/>
        <sz val="10"/>
        <rFont val="Arial"/>
        <family val="2"/>
      </rPr>
      <t>2</t>
    </r>
    <r>
      <rPr>
        <b/>
        <sz val="10"/>
        <rFont val="Arial"/>
        <family val="2"/>
      </rPr>
      <t xml:space="preserve"> Factor 
(kg / Unit)</t>
    </r>
  </si>
  <si>
    <t>(kg / mmBtu)</t>
  </si>
  <si>
    <t>(g / mmBtu)</t>
  </si>
  <si>
    <r>
      <t>Enter the data into the appropriate orange colored boxes (Table 1) of the Calculator section titled “Steam.”  Once the data are entered into the Calculator, the CO</t>
    </r>
    <r>
      <rPr>
        <vertAlign val="subscript"/>
        <sz val="10"/>
        <rFont val="Arial"/>
        <family val="2"/>
      </rPr>
      <t>2</t>
    </r>
    <r>
      <rPr>
        <sz val="10"/>
        <rFont val="Arial"/>
        <family val="2"/>
      </rPr>
      <t xml:space="preserve"> equivalent emissions are calculated and summarized in the blue colored box.  Enter the market-based emission factors in the yellow cells if applicable.</t>
    </r>
  </si>
  <si>
    <r>
      <t xml:space="preserve">(A)  Enter annual data for each facility or site in ORANGE cells in </t>
    </r>
    <r>
      <rPr>
        <b/>
        <sz val="10"/>
        <rFont val="Arial"/>
        <family val="2"/>
      </rPr>
      <t>Table 1</t>
    </r>
    <r>
      <rPr>
        <sz val="10"/>
        <rFont val="Arial"/>
        <family val="2"/>
      </rPr>
      <t xml:space="preserve">.  </t>
    </r>
  </si>
  <si>
    <t xml:space="preserve">  (B) Select ONE of the three options with which to estimate emissions.  Options range from most preferred method 
         (Option 1) to least preferred method (Option 3).  If option 3, screening method, is used and emissions are determined to be 
         significant when compared to other emission sources, then one of the other methods should be applied to calculate emissions more 
         accurately.</t>
  </si>
  <si>
    <r>
      <t>1.  CO</t>
    </r>
    <r>
      <rPr>
        <vertAlign val="subscript"/>
        <sz val="8"/>
        <rFont val="Arial"/>
        <family val="2"/>
      </rPr>
      <t>2</t>
    </r>
    <r>
      <rPr>
        <sz val="8"/>
        <rFont val="Arial"/>
        <family val="2"/>
      </rPr>
      <t xml:space="preserve"> emissions estimated using emission factors provided in Table 3 of the Center for Corporate Climate Leadership</t>
    </r>
    <r>
      <rPr>
        <i/>
        <sz val="8"/>
        <rFont val="Arial"/>
        <family val="2"/>
      </rPr>
      <t xml:space="preserve"> Greenhouse Gas Inventory Guidance</t>
    </r>
  </si>
  <si>
    <t>Total Scope 1 &amp; Location-Based Scope 2</t>
  </si>
  <si>
    <t xml:space="preserve">Total Scope 1 &amp; Market-Based Scope 2 </t>
  </si>
  <si>
    <t>Net Scope 1 and 2 Location-Based Emissions</t>
  </si>
  <si>
    <t>Net Scope 1 and 2 Market-Based Emissions</t>
  </si>
  <si>
    <t>Education</t>
  </si>
  <si>
    <t xml:space="preserve">Food sales </t>
  </si>
  <si>
    <t xml:space="preserve">Food service </t>
  </si>
  <si>
    <t xml:space="preserve">Health care </t>
  </si>
  <si>
    <t xml:space="preserve">Inpatient </t>
  </si>
  <si>
    <t xml:space="preserve">Outpatient </t>
  </si>
  <si>
    <t xml:space="preserve">Lodging </t>
  </si>
  <si>
    <t xml:space="preserve">Mercantile </t>
  </si>
  <si>
    <t xml:space="preserve">Retail (other than mall) </t>
  </si>
  <si>
    <t xml:space="preserve">Enclosed and strip malls </t>
  </si>
  <si>
    <t xml:space="preserve">Public assembly </t>
  </si>
  <si>
    <t xml:space="preserve">Public order and safety </t>
  </si>
  <si>
    <t xml:space="preserve">Religious worship </t>
  </si>
  <si>
    <t xml:space="preserve">Service </t>
  </si>
  <si>
    <t xml:space="preserve">Warehouse and storage </t>
  </si>
  <si>
    <t xml:space="preserve">Other </t>
  </si>
  <si>
    <t xml:space="preserve">Vacant </t>
  </si>
  <si>
    <t>Principal Building Activity</t>
  </si>
  <si>
    <t>2.  Building Type Definitions Source- http://www.eia.gov/consumption/commercial/building-type-definitions.cfm</t>
  </si>
  <si>
    <t>Buildings used for academic or technical classroom instruction, such as elementary, middle, or high schools, and classroom buildings on college or university campuses. Buildings on education campuses for which the main use is not classroom are included in the category relating to their use. For example, administration buildings are part of "Office," dormitories are "Lodging," and libraries are "Public Assembly."</t>
  </si>
  <si>
    <t>Food Sales</t>
  </si>
  <si>
    <t>Buildings used for retail or wholesale of food.</t>
  </si>
  <si>
    <t>Food Service</t>
  </si>
  <si>
    <t>Buildings used for preparation and sale of food and beverages for consumption.</t>
  </si>
  <si>
    <t>Health Care (Inpatient)</t>
  </si>
  <si>
    <t>Buildings used as diagnostic and treatment facilities for inpatient care.</t>
  </si>
  <si>
    <t>Health Care (Outpatient)</t>
  </si>
  <si>
    <t>Buildings used as diagnostic and treatment facilities for outpatient care. Medical offices are included here if they use any type of diagnostic medical equipment (if they do not, they are categorized as an office building).</t>
  </si>
  <si>
    <t>Lodging</t>
  </si>
  <si>
    <t>Buildings used to offer multiple accommodations for short-term or long-term residents, including skilled nursing and other residential care buildings.</t>
  </si>
  <si>
    <t>Mercantile (Retail Other Than Mall)</t>
  </si>
  <si>
    <t>Buildings used for the sale and display of goods other than food.</t>
  </si>
  <si>
    <t>Mercantile (Enclosed and Strip Malls)</t>
  </si>
  <si>
    <t>Shopping malls comprised of multiple connected establishments.</t>
  </si>
  <si>
    <t>Buildings used for general office space, professional office, or administrative offices. Medical offices are included here if they do not use any type of diagnostic medical equipment (if they do, they are categorized as an outpatient health care building).</t>
  </si>
  <si>
    <t>Public Assembly</t>
  </si>
  <si>
    <t>Buildings in which people gather for social or recreational activities, whether in private or non-private meeting halls.</t>
  </si>
  <si>
    <t>Public Order and Safety</t>
  </si>
  <si>
    <t>Buildings used for the preservation of law and order or public safety.</t>
  </si>
  <si>
    <t>Religious Worship</t>
  </si>
  <si>
    <t>Buildings in which people gather for religious activities, (such as chapels, churches, mosques, synagogues, and temples).</t>
  </si>
  <si>
    <t>No subcategories collected</t>
  </si>
  <si>
    <t>Service</t>
  </si>
  <si>
    <t>Buildings in which some type of service is provided, other than food service or retail sales of goods</t>
  </si>
  <si>
    <t>Buildings used to store goods, manufactured products, merchandise, raw materials, or personal belongings (such as self-storage).</t>
  </si>
  <si>
    <t>Buildings that are industrial or agricultural with some retail space; buildings having several different commercial activities that, together, comprise 50 percent or more of the floorspace, but whose largest single activity is agricultural, industrial/ manufacturing, or residential; and all other miscellaneous buildings that do not fit into any other category.</t>
  </si>
  <si>
    <t>Vacant</t>
  </si>
  <si>
    <t>Buildings in which more floorspace was vacant than was used for any single commercial activity at the time of interview. Therefore, a vacant building may have some occupied floorspace.</t>
  </si>
  <si>
    <t>No subcategories collected, but a question was asked to determine whether the building was completely vacant.</t>
  </si>
  <si>
    <t>Examples</t>
  </si>
  <si>
    <t>elementary or middle school, high school, college or university, preschool or daycare, adult education, career or vocational training, religious education</t>
  </si>
  <si>
    <t>airplane hangar, crematorium, laboratory, telephone switching, agricultural with some retail space, manufacturing or industrial with some retail space, data center or server farm</t>
  </si>
  <si>
    <t>refrigerated warehouse, non-refrigerated warehouse, distribution or shipping center</t>
  </si>
  <si>
    <t>vehicle service or vehicle repair shop, vehicle storage/ maintenance (car barn), repair shop, dry cleaner or laundromat, post office or postal center, car wash, gas station, photo processing shop, beauty parlor or barber shop, tanning salon, copy center or printing shop, kennel</t>
  </si>
  <si>
    <t>police station, fire station, jail, reformatory, or penitentiary, courthouse or probation office</t>
  </si>
  <si>
    <t>social or meeting (e.g. community center, lodge, meeting hall, convention center,senior center), recreation (e.g. gymnasium, health club, bowling alley, ice rink, field house, indoor racquet sports), entertainment or culture (e.g. museum, theater, cinema, sports arena, casino, night club), library, funeral home, student activities center, armory, exhibition hall, broadcasting studio, transportation terminal</t>
  </si>
  <si>
    <t>administrative or professional office, government office, mixed-use office, bank or other financial institution, medical office (see previous column), sales office, contractor's office (e.g. construction, plumbing, HVAC), non-profit or social services, city hall or city center, religious office, call center</t>
  </si>
  <si>
    <t>enclosed mall, strip shopping center</t>
  </si>
  <si>
    <t>retail store, beer, wine, or liquor store, rental center, dealership or showroom for vehicles or boats, studio/gallery</t>
  </si>
  <si>
    <t>motel or inn, hotel, dormitory, fraternity, or sorority, retirement home, nursing home, assisted living, or other residential care, convent or monastery, shelter, orphanage, or children's home, halfway house</t>
  </si>
  <si>
    <t>medical office (see previous column), clinic or other outpatient health care, outpatient rehabilitation, veterinarian</t>
  </si>
  <si>
    <t>hospital, inpatient rehabilitation</t>
  </si>
  <si>
    <t>fast food, restaurant or cafeteria, bar, catering service or reception hall, coffee, bagel, or doughnut shop, ice cream or frozen yogurt shop</t>
  </si>
  <si>
    <t xml:space="preserve">grocery store or food market, gas station with a convenience store, convenience store, </t>
  </si>
  <si>
    <t>Building Types</t>
  </si>
  <si>
    <t>An Example</t>
  </si>
  <si>
    <t>- 100,000 kWh total facility consumption</t>
  </si>
  <si>
    <t>- 25,000 kWh purchased with energy attribute certificates such as renewable energy certificates (RECs).</t>
  </si>
  <si>
    <t>Building A</t>
  </si>
  <si>
    <t>Wind Farm RECs</t>
  </si>
  <si>
    <t xml:space="preserve">Local Utility </t>
  </si>
  <si>
    <t>Market-Based Method - HELP SHEET</t>
  </si>
  <si>
    <t>Market-Based Electricity Emission Factors</t>
  </si>
  <si>
    <t>(1)</t>
  </si>
  <si>
    <t>(2)</t>
  </si>
  <si>
    <t>(3)</t>
  </si>
  <si>
    <t>(4)</t>
  </si>
  <si>
    <t>(5)</t>
  </si>
  <si>
    <t>(6)</t>
  </si>
  <si>
    <t>Energy Attribute Certificates</t>
  </si>
  <si>
    <t>Contracts</t>
  </si>
  <si>
    <t>Supplier-Specific Emission Factor</t>
  </si>
  <si>
    <t>Residual Mix Factor</t>
  </si>
  <si>
    <t>Regional Emission Factor</t>
  </si>
  <si>
    <t>National Emission Factor</t>
  </si>
  <si>
    <t xml:space="preserve">This should not be applicable for any companies reporting US based emissions, due to the availability of regional emission factors. </t>
  </si>
  <si>
    <t xml:space="preserve">An organization may have a contract, such as a power purchase agreement (PPA), to purchase electricity from a specified generating facility, which may be located at the organization's facility, at a nearby location with a direct line connection to the organization, or located remotely.  If there are no certificates available, the contract itself carries the emission factor associated with the generation facility, regardless of the energy resource used.  If certificates are used, see Energy Attribute Certificates above.  </t>
  </si>
  <si>
    <t xml:space="preserve">An electricity supplier, such as a regulated utility or a deregulated supplier, may provide information to its customers on the emission factor associated with its electricity product.  To be used in the market-based method, the emission factor must include all the electricity delivered by the supplier, including electricity it generates as well as electricity it purchases from others.  </t>
  </si>
  <si>
    <t>A residual mix emission factor represents the emissions and generation that remain after certificates, contracts, and supplier-specific factors have been claimed and removed from the calculation.  Residual mix emission factors are currently not widely available.  Organizations are encouraged to check for available residual mix factors each year when their GHG inventory is completed, if the options above are not available or relevant.</t>
  </si>
  <si>
    <t xml:space="preserve">The Energy Information Administration conducts a Commercial Building Energy Consumption Survey and provides average energy consumption by building type per square foot.  Use the numbers below to compare against your data or to estimate if no data are available. For example, if you have a 1,000 sq ft office suite in the Northeast multiply by 17.1 to get an estimation of 17,100 kWh electricity for a year.  </t>
  </si>
  <si>
    <t>* Record of renewable energy purchased through 
   contractual instruments</t>
  </si>
  <si>
    <t>Location-Based Scope 2 Emissions</t>
  </si>
  <si>
    <t>Market-Based Scope 2 Emissions</t>
  </si>
  <si>
    <t>A typical office-based organization will likely have the following (scope 1 and scope 2) emissions sources:</t>
  </si>
  <si>
    <r>
      <rPr>
        <b/>
        <sz val="10"/>
        <rFont val="Arial"/>
        <family val="2"/>
      </rPr>
      <t>Location-based:</t>
    </r>
    <r>
      <rPr>
        <sz val="10"/>
        <rFont val="Arial"/>
        <family val="2"/>
      </rPr>
      <t xml:space="preserve"> Enter the data into the appropriate orange colored boxes (Table 1) of the Calculator section titled "Electricity.”  Once the data are entered into the Calculator, the CO</t>
    </r>
    <r>
      <rPr>
        <vertAlign val="subscript"/>
        <sz val="10"/>
        <rFont val="Arial"/>
        <family val="2"/>
      </rPr>
      <t>2</t>
    </r>
    <r>
      <rPr>
        <sz val="10"/>
        <rFont val="Arial"/>
        <family val="2"/>
      </rPr>
      <t xml:space="preserve"> equivalent emissions are calculated and summarized in the blue colored box for the location based method. </t>
    </r>
  </si>
  <si>
    <t>Fuel type used to generate steam</t>
  </si>
  <si>
    <r>
      <t>Quantity of offsets purchased in metric tons CO</t>
    </r>
    <r>
      <rPr>
        <vertAlign val="subscript"/>
        <sz val="10"/>
        <rFont val="Arial"/>
        <family val="2"/>
      </rPr>
      <t>2</t>
    </r>
    <r>
      <rPr>
        <sz val="10"/>
        <rFont val="Arial"/>
        <family val="2"/>
      </rPr>
      <t xml:space="preserve"> equivalent for each offset project.</t>
    </r>
  </si>
  <si>
    <r>
      <t>CF</t>
    </r>
    <r>
      <rPr>
        <vertAlign val="subscript"/>
        <sz val="10"/>
        <rFont val="Arial"/>
        <family val="2"/>
      </rPr>
      <t>4</t>
    </r>
  </si>
  <si>
    <t>Help - Market-Based Method</t>
  </si>
  <si>
    <t xml:space="preserve">  (A) Navigate to the data entry sheets using the drop down menu in the dark grey cell below and then clicking on the "Go To Data Entry Sheet" 
         button. On the data entry sheets enter data in ORANGE cells only.  </t>
  </si>
  <si>
    <r>
      <t>Emission sources of all seven major GHGs are accounted for in the inventory and in this Calculator: carbon dioxide (CO</t>
    </r>
    <r>
      <rPr>
        <vertAlign val="subscript"/>
        <sz val="10"/>
        <rFont val="Arial"/>
        <family val="2"/>
      </rPr>
      <t>2</t>
    </r>
    <r>
      <rPr>
        <sz val="10"/>
        <rFont val="Arial"/>
        <family val="2"/>
      </rPr>
      <t>), methane (CH</t>
    </r>
    <r>
      <rPr>
        <vertAlign val="subscript"/>
        <sz val="10"/>
        <rFont val="Arial"/>
        <family val="2"/>
      </rPr>
      <t>4</t>
    </r>
    <r>
      <rPr>
        <sz val="10"/>
        <rFont val="Arial"/>
        <family val="2"/>
      </rPr>
      <t>), nitrous oxide (N</t>
    </r>
    <r>
      <rPr>
        <vertAlign val="subscript"/>
        <sz val="10"/>
        <rFont val="Arial"/>
        <family val="2"/>
      </rPr>
      <t>2</t>
    </r>
    <r>
      <rPr>
        <sz val="10"/>
        <rFont val="Arial"/>
        <family val="2"/>
      </rPr>
      <t>O), hydroﬂuorocarbons (HFCs), perﬂuorocarbons (PFCs), sulfur hexaﬂuoride (SF</t>
    </r>
    <r>
      <rPr>
        <vertAlign val="subscript"/>
        <sz val="10"/>
        <rFont val="Arial"/>
        <family val="2"/>
      </rPr>
      <t>6</t>
    </r>
    <r>
      <rPr>
        <sz val="10"/>
        <rFont val="Arial"/>
        <family val="2"/>
      </rPr>
      <t>), and nitrogen trifluoride (NF</t>
    </r>
    <r>
      <rPr>
        <vertAlign val="subscript"/>
        <sz val="10"/>
        <rFont val="Arial"/>
        <family val="2"/>
      </rPr>
      <t>3</t>
    </r>
    <r>
      <rPr>
        <sz val="10"/>
        <rFont val="Arial"/>
        <family val="2"/>
      </rPr>
      <t xml:space="preserve">). The Calculator allows the user to estimate GHG emissions from scope 1 (direct), scope 2 (indirect), and some scope 3 (other indirect) sources.   </t>
    </r>
  </si>
  <si>
    <t xml:space="preserve">         (Option 1) to least preferred method (Option 3).  If option 3, screening method, is used and emissions are determined</t>
  </si>
  <si>
    <t xml:space="preserve">         to be significant when compared to other emission sources, then one of the other methods should be applied to calculate</t>
  </si>
  <si>
    <t xml:space="preserve">         emissions more accurately.</t>
  </si>
  <si>
    <t>https://www.epa.gov/ghgreporting</t>
  </si>
  <si>
    <r>
      <t xml:space="preserve">The Calculator uses U.S.-specific cross-sector emission factors from the </t>
    </r>
    <r>
      <rPr>
        <i/>
        <sz val="10"/>
        <rFont val="Arial"/>
        <family val="2"/>
      </rPr>
      <t>Emission Factors Hub</t>
    </r>
    <r>
      <rPr>
        <sz val="10"/>
        <rFont val="Arial"/>
        <family val="2"/>
      </rPr>
      <t>. Many industrial sectors also have process-related emissions sources that are specific to their sector. EPA’s Greenhouse Gas Reporting Program provides guidance and tools that can aid in the calculation and reporting of these emissions:</t>
    </r>
  </si>
  <si>
    <t xml:space="preserve">The GHG Protocol also provides guidance on calculating emissions from industrial processes.  </t>
  </si>
  <si>
    <r>
      <t xml:space="preserve">Market-Based
</t>
    </r>
    <r>
      <rPr>
        <i/>
        <sz val="10"/>
        <rFont val="Arial"/>
        <family val="2"/>
      </rPr>
      <t>Use these cells to enter applicable market-based emission factors</t>
    </r>
  </si>
  <si>
    <t>Tips: Enter electricity usage by location and then look up the eGRID subregion for each location.</t>
  </si>
  <si>
    <t>EPA encourages organizations to use renewable energy as a way to reduce the environmental impacts associated with the electricity they purchase. Organizations can reduce their market-based scope 2 emissions by purchasing renewable energy, or “green power.” They can do this by choosing a differentiated electricity product from their utility or electricity supplier, by contracting directly with a renewable energy generator (if the regulatory rules allow), or by purchasing unbundled renewable energy certificates (RECs). In any case, the RECs must be acquired and retired.</t>
  </si>
  <si>
    <t xml:space="preserve">The Indirect Emissions from Purchased Electricity Guidance defines EPA best-practice quality recommendations that go beyond these minimum requirements. </t>
  </si>
  <si>
    <t xml:space="preserve">If an energy attribute certificate carries with it an emission factor, that factor can be used to quantify emissions in the market-based method.  Examples are renewable energy certificates (RECs) or Guarantees of Origin (GOs).  The emission factor is based on the specific source that the certificate represents, regardless of the energy resource used.  Typically these certificates represent renewable energy and may have an emission factor of zero, but they may in some cases have a non-zero emission factor (e.g., if there is a fossil-fuel or biomass generation component). </t>
  </si>
  <si>
    <t>EPA, ENERGY STAR, https://www.energystar.gov/buildings/tools-and-resources/portfolio-manager-technical-reference-thermal-conversion-factors</t>
  </si>
  <si>
    <t>Purchased Offsets - HELP SHEET</t>
  </si>
  <si>
    <t>Purchased Offsets</t>
  </si>
  <si>
    <t>The questions below refer to scope 3 emissions sources and offsets.  If you answer "yes" you may choose whether or not to include these emissions sources in your inventory. Use the corresponding sheet to enter data.</t>
  </si>
  <si>
    <t>If residual mix factors are not available, organizations can use a regional grid average emission factor as the default.  This calculator will use eGRID subregion emission factors in this case.</t>
  </si>
  <si>
    <t xml:space="preserve">  (3)  Be tracked and redeemed, retired, or canceled by or on behalf of the reporting entity.  This can be done through a tracking 
       system, an audit of contracts, third-party certification, or other means. </t>
  </si>
  <si>
    <t xml:space="preserve">  (2)  Be the only instruments that carry the GHG emission rate attribute claim associated with that quantity of electricity generation.
        See the "Items to Note" section of the Help sheet for suggested estimation approaches. </t>
  </si>
  <si>
    <t xml:space="preserve">  (5)  Be sourced from the same market in which the reporting entity’s electricity-consuming operations are located and 
         to which the instrument is applied. A market is defined as a geographical area which has a common system for 
         trading and retiring contractual instruments. For this purpose the U.S. constitutes a single market, despite regional 
        grid boundaries.</t>
  </si>
  <si>
    <t xml:space="preserve">The market-based method considers contractual arrangements under which the organization procures electricity from specific sources, such as fossil, renewable, or other generation facilities. Market-based emission factors reflect these arrangements. The following are the types of market-based emission factors available, listed in order of preference based on the precision of the factors.  If any of the first four types of emission factors are applicable, enter the factors in the yellow cells marked as "&lt;enter factor&gt;".  If not, leave the yellow cells as is, and eGRID subregion factors will be used for market-based emissions. </t>
  </si>
  <si>
    <t xml:space="preserve">In a situation where an organization has procured electricity from a specific source that is relevant to report for the market-based method, but the source supplies less than 100% of the kWh consumed by the facility, it is important to enter the data correctly.  Consider the following scenario: </t>
  </si>
  <si>
    <r>
      <t xml:space="preserve">The Indirect Emissions from Purchased Electricity Guidance document provides guidance for quantifying two scope 2 emissions totals, using a </t>
    </r>
    <r>
      <rPr>
        <b/>
        <sz val="10"/>
        <rFont val="Arial"/>
        <family val="2"/>
      </rPr>
      <t xml:space="preserve">location-based method </t>
    </r>
    <r>
      <rPr>
        <sz val="10"/>
        <rFont val="Arial"/>
        <family val="2"/>
      </rPr>
      <t>and a</t>
    </r>
    <r>
      <rPr>
        <b/>
        <sz val="10"/>
        <rFont val="Arial"/>
        <family val="2"/>
      </rPr>
      <t xml:space="preserve"> market-based method</t>
    </r>
    <r>
      <rPr>
        <sz val="10"/>
        <rFont val="Arial"/>
        <family val="2"/>
      </rPr>
      <t xml:space="preserve">.  The organization should quantify and report both totals in its GHG inventory.  The location-based method considers average emission factors for the electricity grids that provide electricity.  The market-based method considers contractual arrangements under which the organization procures electricity from specific sources, such as renewable energy.  </t>
    </r>
  </si>
  <si>
    <r>
      <t>Market-Based Emission Factors</t>
    </r>
    <r>
      <rPr>
        <sz val="10"/>
        <rFont val="Arial"/>
        <family val="2"/>
      </rPr>
      <t xml:space="preserve"> (entered on Electricity and or Steam tabs)</t>
    </r>
  </si>
  <si>
    <t xml:space="preserve">Do you purchase renewable energy certificates (RECs) or green power products? Do you purchase electricity through a power purchase agreement (PPA)? Do you have supplier-specific emission factors? </t>
  </si>
  <si>
    <t>The table below shows how to enter the data for this example site. There are two rows entered for the facility in order to allocate the market-based emissions to the appropriate kWh.</t>
  </si>
  <si>
    <t>The total Electricity Purchased (kWh) of the two rows adds up to facility's total consumption.  Be careful not to double count kWh.</t>
  </si>
  <si>
    <t xml:space="preserve">- No other market-based emission factors are available. </t>
  </si>
  <si>
    <t>The REC emission factors are entered in the first row.  In the second row, there is no need to enter market-based emission factors, because none are available.</t>
  </si>
  <si>
    <r>
      <t xml:space="preserve">  (A)  Enter total annual electricity purchased in kWh and each eGRID subregion for each facility or site in ORANGE cells of </t>
    </r>
    <r>
      <rPr>
        <b/>
        <sz val="10"/>
        <rFont val="Arial"/>
        <family val="2"/>
      </rPr>
      <t>Table 1</t>
    </r>
    <r>
      <rPr>
        <sz val="10"/>
        <rFont val="Arial"/>
        <family val="2"/>
      </rPr>
      <t xml:space="preserve">.  </t>
    </r>
  </si>
  <si>
    <t>- Select "Fuel Type" from drop box to indicate the fuel used to generate the steam.</t>
  </si>
  <si>
    <t xml:space="preserve"> -- If more than one fuel type is used, enter multiple rows, apportioning the steam using the same percentages as the fuel mix.</t>
  </si>
  <si>
    <t>- Enter amount of steam purchased in mmBtu. Heat Content conversions can be found on the "Heat Content" sheet.</t>
  </si>
  <si>
    <t xml:space="preserve">   (B) If steam is purchased at a facility but steam consumption data are not available, an estimate should be made for completeness.  
         See the "Items to Note" section of the Help sheet for suggested estimation approaches. </t>
  </si>
  <si>
    <t>GHG Reductions</t>
  </si>
  <si>
    <t xml:space="preserve">                  - Enter boiler efficiency.  If boiler efficiency is not known, use 80% as default value. Do not enter market-based emission factors. </t>
  </si>
  <si>
    <t xml:space="preserve">Determine the amount of steam purchased, the types of fuel that the steam supplier uses to generate the steam, and either the emission factors provided by the steam supplier or the boiler efficiency.  If values for boiler efficiency are unavailable, a default of 80% is provided in the Calculator.  </t>
  </si>
  <si>
    <t>Boiler efficiency or supplier-specific emission factors</t>
  </si>
  <si>
    <t xml:space="preserve">         If you purchase renewable energy that is less than 100% of your site's electricity, see the 
         example in the market-based method Help sheet. </t>
  </si>
  <si>
    <r>
      <t xml:space="preserve">  (D) See the market-based emission factor hierarchy on the market-based method Help sheet. If any of the first four types of
       emission factors are applicable, enter the factors in the yellow cells marked as "&lt;enter factor&gt;".  If not, leave the 
       yellow cells as is, and eGRID subregion factors will be used for market-based emissions. 
   Example entry is shown in first row </t>
    </r>
    <r>
      <rPr>
        <sz val="10"/>
        <color indexed="21"/>
        <rFont val="Arial"/>
        <family val="2"/>
      </rPr>
      <t>(</t>
    </r>
    <r>
      <rPr>
        <i/>
        <sz val="10"/>
        <color indexed="21"/>
        <rFont val="Arial"/>
        <family val="2"/>
      </rPr>
      <t>GREEN Italics</t>
    </r>
    <r>
      <rPr>
        <sz val="10"/>
        <rFont val="Arial"/>
        <family val="2"/>
      </rPr>
      <t>) for a facility that purchases RECs for 100% of its consumption, and   
       therefore has a market-based emission factor of 0.</t>
    </r>
  </si>
  <si>
    <r>
      <rPr>
        <b/>
        <sz val="10"/>
        <rFont val="Arial"/>
        <family val="2"/>
      </rPr>
      <t>Market-based:</t>
    </r>
    <r>
      <rPr>
        <sz val="10"/>
        <rFont val="Arial"/>
        <family val="2"/>
      </rPr>
      <t xml:space="preserve"> Enter applicable market-based emission factors (lb/MWh) for the purchased electricity in the yellow cells (Table 1) of the Calculator section titled "Electricity.”  See the market-based method Help sheet for additional guidance. Once the data are entered into the Calculator, the CO</t>
    </r>
    <r>
      <rPr>
        <vertAlign val="subscript"/>
        <sz val="10"/>
        <rFont val="Arial"/>
        <family val="2"/>
      </rPr>
      <t>2</t>
    </r>
    <r>
      <rPr>
        <sz val="10"/>
        <rFont val="Arial"/>
        <family val="2"/>
      </rPr>
      <t xml:space="preserve"> equivalent emissions are calculated and summarized in the blue colored box for the market-based method. </t>
    </r>
  </si>
  <si>
    <t>https://www.epa.gov/climateleadership/center-corporate-climate-leadership-ghg-emission-factors-hub</t>
  </si>
  <si>
    <t>GHGs are emitted when fossil fuels are combusted to generate electricity.  Companies account for their responsibility for these emissions by reporting them as scope 2 indirect emissions. This Calculator quantifies emissions from both the location-based method and the market-based method, and both totals should be reported.  The location-based method considers average emission factors for the electricity grids that provide electricity.  The market-based method considers contractual arrangements under which the organization procures power from specific sources, such as renewable energy.  Market-based emission factors reflect these arrangements. Examples of market-based emission factors are: renewable energy certificates (RECs), power purchase agreements (PPAs), and supplier-specific factors.  For detailed information on the location-based method and the market-based method review EPA's Indirect Emissions from Purchased Electricity Guidance (link at the bottom of this sheet).</t>
  </si>
  <si>
    <t>Do any vehicles fall within your organizational boundary?  This can include cars, trucks, propane forklifts, aircraft, boats.  Only vehicles owned or leased by your organization should be included here.</t>
  </si>
  <si>
    <t>Do your employees travel for business using transportation other than owned or leased vehicles (e.g., commercial airline flights, rental cars, trains)?</t>
  </si>
  <si>
    <t>Total organization Emissions</t>
  </si>
  <si>
    <t>Total Organization-Wide Stationary Source Combustion by Fuel Type</t>
  </si>
  <si>
    <r>
      <t xml:space="preserve">Option 1.   </t>
    </r>
    <r>
      <rPr>
        <sz val="10"/>
        <rFont val="Arial"/>
        <family val="2"/>
      </rPr>
      <t xml:space="preserve"> Material Balance Method:  Enter organization-wide total gases stored and transferred (by gas) in Table 1.</t>
    </r>
  </si>
  <si>
    <r>
      <t xml:space="preserve">Option 1.    </t>
    </r>
    <r>
      <rPr>
        <sz val="10"/>
        <rFont val="Arial"/>
        <family val="2"/>
      </rPr>
      <t>Material Balance Method:  Enter organization-wide fire suppression gases stored and transferred (by gas) in Table 1.</t>
    </r>
  </si>
  <si>
    <t xml:space="preserve">                  - Charge/Recharge = gas added to units by organization or a contractor (do not include pre-charge by manufacturer).</t>
  </si>
  <si>
    <r>
      <t xml:space="preserve">Option 2.    </t>
    </r>
    <r>
      <rPr>
        <sz val="10"/>
        <rFont val="Arial"/>
        <family val="2"/>
      </rPr>
      <t xml:space="preserve"> Material Balance Method (Simplified):  Enter organization-wide total gases in units (by gas) in Table 2.</t>
    </r>
  </si>
  <si>
    <t>Option 2.     Material Balance Method (Simplified):  Enter organization-wide fire suppression gas in units (by gas) in Table 2.</t>
  </si>
  <si>
    <t>(C) For road shipments, if your organization's product is the only product transported in the vehicle (i.e. full truckload shipment) then enter the vehicle type and miles for each leg of transport in Table 1.  Emissions are calculated using vehicle-miles.</t>
  </si>
  <si>
    <t xml:space="preserve">This Calculator provides the calculations to quantify your organization's GHG emissions based on annual totals for activity data, which are entered in the ORANGE data entry cells in this workbook.  It is good practice to use a spreadsheet or database to track more detailed activity data, such as monthly energy consumption, and aggregate that detailed data into annual totals for entry into the Calculator.  This approach provides an "audit trail" that retraces the steps completed to arrive at the annual usage numbers you enter into the Calculator.   ENERGY STAR's Portfolio Manager is one database option if your business is already using this tool.  (More information on Portfolio Manager is available in the Guide to GHG Management). The bullets below suggest the type of data you may want to store in the data management spreadsheet or database.   </t>
  </si>
  <si>
    <t xml:space="preserve">To account for these sources, collect information about the type of fuel used and the quantity of fuel combusted at each facility.  Sources of data can vary, but the data are often provided by the utility organization that supplies the fuel to the organization.  A monthly natural gas bill, for example, can be used to provide information regarding how much natural gas was purchased for the previous billing cycle. </t>
  </si>
  <si>
    <t>If you are one of many tenants in a facility and you do not have the actual amount of fuel used in your space, you may estimate your fuel usage by multiplying the fuel usage of the entire facility by the percentage of the floor area that your organization occupies.</t>
  </si>
  <si>
    <t>If your organization owns a private jet or plane it should be included here.  Depending on the fuel it uses, pick the appropriate type from the drop down menu (i.e., Aviation Gasoline Aircraft, Jet Fuel Aircraft).</t>
  </si>
  <si>
    <t>If you are one of many tenants in a facility and you cannot quantify the refrigerant emissions specific to your space, you may estimate them based on the percentage of the floor area that your organization occupies.</t>
  </si>
  <si>
    <t>If your organization uses a refrigerant that is not listed, the user may need to determine the constituent blend.  This website lists common refrigerant compositions:</t>
  </si>
  <si>
    <t>If you are one of many tenants in a facility and you do not have the actual amount of electricity used in your space, you may estimate your usage by multiplying the electricity usage of the entire facility by the percentage of the floor area that your organization occupies.</t>
  </si>
  <si>
    <t xml:space="preserve">Similar to electricity production, GHGs are emitted when fossil fuels are combusted to generate heat or steam.  If the organization purchases heat or steam, the emissions are accounted for as scope 2 indirect emissions. Also similar to electricity, both the location-based method and the market-based method should be calculated and reported as done in this Calculator. Typically supplier-specific emission factors for steam will apply to both location-based and market-based emissions, and no market-based emission factors need to be entered.  If needed, see the market-based method Help Sheet for more information.  </t>
  </si>
  <si>
    <t>If you are one of many tenants in a facility and you do not have the actual amount of steam used in your space, you may estimate your usage by multiplying the steam usage of the entire facility by the percentage of the floor area that your organization occupies.</t>
  </si>
  <si>
    <t xml:space="preserve">Scope 3 employee business travel emissions differ from the scope 1 mobile source emission reporting in that they account for employee business travel in vehicles not owned or leased by the organization, such as taxis, trains, commercial airplanes, and personal vehicles used for sales. </t>
  </si>
  <si>
    <t xml:space="preserve">If employees carpool, only their portion of the mileage should be included in the GHG inventory.  For example, if one of your employees drives 10 miles alone to meet two other people (not employees) to carpool and then drives 30 miles to work then the organization should include 20 miles (10 miles + 30 (1/3)) in the corporate inventory.  </t>
  </si>
  <si>
    <t>Collect information about shipment methods (on-road vehicle, waterborne craft, freight rail, or aircraft).  For road shipments the user may enter data based on vehicle mileage or ton-miles of product transported.  If the vehicle mileage option is chosen, then the organization should select the type of vehicle and enter the total mileage for that vehicle type.  The ton-miles option is only applicable for heavy-duty trucks and the organization need only enter the total ton-miles traveled.  For product transport via freight rail, waterborne, or air transport, the organization should enter the total ton-miles data.</t>
  </si>
  <si>
    <t>Offsets are project-based emission reductions and/or removals that occur outside the organizational boundary of the reporting organization.  Offsets can be purchased by an organization to offset emissions from scope 1, scope 2, and scope 3 sources.</t>
  </si>
  <si>
    <r>
      <t>Total Organization-Wide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from Stationary Source Fuel Combustion</t>
    </r>
  </si>
  <si>
    <t xml:space="preserve">                  - Enter amount of refrigerant added to new units by the organization (not pre-charged amount from manufacturer).</t>
  </si>
  <si>
    <t>Liquid</t>
  </si>
  <si>
    <t>Solid</t>
  </si>
  <si>
    <t>SCF</t>
  </si>
  <si>
    <t>Therm</t>
  </si>
  <si>
    <t>MMBtu</t>
  </si>
  <si>
    <t>Gallons</t>
  </si>
  <si>
    <t>Short Ton</t>
  </si>
  <si>
    <t>- Select "Fuel Combusted" from drop down box.</t>
  </si>
  <si>
    <t xml:space="preserve">- Enter "Quantity Combusted" and choose the appropriate units from the drop down box in the unit column.  If it's necessary to convert units, common heat contents can be found on the "Heat Content" sheet and unit conversions on the "Unit Conversion" sheet. </t>
  </si>
  <si>
    <t xml:space="preserve">47.5% HFC-227ea , 52.5% HFC-134a ,  </t>
  </si>
  <si>
    <t>Business Travel and Employee Commuting Emission Factors</t>
  </si>
  <si>
    <t>1984-93</t>
  </si>
  <si>
    <t>1987-93</t>
  </si>
  <si>
    <t>1985-86</t>
  </si>
  <si>
    <t>Diesel</t>
  </si>
  <si>
    <t>Light-Duty Trucks</t>
  </si>
  <si>
    <t>Medium- and Heavy-Duty Vehicles</t>
  </si>
  <si>
    <t>1960-2006</t>
  </si>
  <si>
    <t>Light-Duty Cars</t>
  </si>
  <si>
    <t>Methanol</t>
  </si>
  <si>
    <t>CNG</t>
  </si>
  <si>
    <t>LPG</t>
  </si>
  <si>
    <t>Biodiesel</t>
  </si>
  <si>
    <t>LNG</t>
  </si>
  <si>
    <t>Medium-Duty Trucks</t>
  </si>
  <si>
    <t>Heavy-Duty Trucks</t>
  </si>
  <si>
    <t>Buses</t>
  </si>
  <si>
    <t>Ships and Boats</t>
  </si>
  <si>
    <t>Locomotives</t>
  </si>
  <si>
    <t>Jet Fuel</t>
  </si>
  <si>
    <t>Gasoline</t>
  </si>
  <si>
    <t>Scope 3 Emissions from Employee Commuting</t>
  </si>
  <si>
    <t>Scope 3 Emissions from Waste</t>
  </si>
  <si>
    <t>Waste Material</t>
  </si>
  <si>
    <t>Disposal Method</t>
  </si>
  <si>
    <r>
      <t>CO</t>
    </r>
    <r>
      <rPr>
        <b/>
        <vertAlign val="subscript"/>
        <sz val="10"/>
        <rFont val="Arial"/>
        <family val="2"/>
      </rPr>
      <t>2</t>
    </r>
    <r>
      <rPr>
        <b/>
        <sz val="10"/>
        <rFont val="Arial"/>
        <family val="2"/>
      </rPr>
      <t>e (kg)</t>
    </r>
  </si>
  <si>
    <r>
      <t>CO</t>
    </r>
    <r>
      <rPr>
        <b/>
        <vertAlign val="subscript"/>
        <sz val="10"/>
        <rFont val="Arial"/>
        <family val="2"/>
      </rPr>
      <t>2</t>
    </r>
    <r>
      <rPr>
        <b/>
        <sz val="10"/>
        <rFont val="Arial"/>
        <family val="2"/>
      </rPr>
      <t>e Emissions (kg)</t>
    </r>
  </si>
  <si>
    <t>Aluminum Cans</t>
  </si>
  <si>
    <t>Aluminum Ingot</t>
  </si>
  <si>
    <t>Steel Cans</t>
  </si>
  <si>
    <t>Copper Wire</t>
  </si>
  <si>
    <t>Glass</t>
  </si>
  <si>
    <t>HDPE</t>
  </si>
  <si>
    <t>LDPE</t>
  </si>
  <si>
    <t>PET</t>
  </si>
  <si>
    <t>LLDPE</t>
  </si>
  <si>
    <t>PP</t>
  </si>
  <si>
    <t>PS</t>
  </si>
  <si>
    <t>PVC</t>
  </si>
  <si>
    <t>PLA</t>
  </si>
  <si>
    <t>Corrugated Containers</t>
  </si>
  <si>
    <t>Magazines/Third-class mail</t>
  </si>
  <si>
    <t>Newspaper</t>
  </si>
  <si>
    <t>Office Paper</t>
  </si>
  <si>
    <t>Phonebooks</t>
  </si>
  <si>
    <t>Textbooks</t>
  </si>
  <si>
    <t>Dimensional Lumber</t>
  </si>
  <si>
    <t>Medium-density Fiberboard</t>
  </si>
  <si>
    <t>Food Waste (non-meat)</t>
  </si>
  <si>
    <t>Food Waste (meat only)</t>
  </si>
  <si>
    <t>Beef</t>
  </si>
  <si>
    <t>Poultry</t>
  </si>
  <si>
    <t>Grains</t>
  </si>
  <si>
    <t>Bread</t>
  </si>
  <si>
    <t>Fruits and Vegetables</t>
  </si>
  <si>
    <t>Dairy Products</t>
  </si>
  <si>
    <t>Yard Trimmings</t>
  </si>
  <si>
    <t>Grass</t>
  </si>
  <si>
    <t>Leaves</t>
  </si>
  <si>
    <t>Branches</t>
  </si>
  <si>
    <t>Mixed Paper (general)</t>
  </si>
  <si>
    <t>Mixed Paper (primarily residential)</t>
  </si>
  <si>
    <t>Mixed Paper (primarily from offices)</t>
  </si>
  <si>
    <t>Mixed Metals</t>
  </si>
  <si>
    <t>Mixed Plastics</t>
  </si>
  <si>
    <t>Mixed Recyclables</t>
  </si>
  <si>
    <t>Food Waste</t>
  </si>
  <si>
    <t>Mixed Organics</t>
  </si>
  <si>
    <t>Carpet</t>
  </si>
  <si>
    <t>Desktop CPUs</t>
  </si>
  <si>
    <t>Portable Electronic Devices</t>
  </si>
  <si>
    <t>Flat-panel Displays</t>
  </si>
  <si>
    <t>CRT Displays</t>
  </si>
  <si>
    <t>Electronic Peripherals</t>
  </si>
  <si>
    <t>Hard-copy Devices</t>
  </si>
  <si>
    <t>Mixed Electronics</t>
  </si>
  <si>
    <t>Clay Bricks</t>
  </si>
  <si>
    <t>Concrete</t>
  </si>
  <si>
    <t>Fly Ash</t>
  </si>
  <si>
    <t>Tires</t>
  </si>
  <si>
    <t>Asphalt Concrete</t>
  </si>
  <si>
    <t>Asphalt Shingles</t>
  </si>
  <si>
    <t>Drywall</t>
  </si>
  <si>
    <t>Fiberglass Insulation</t>
  </si>
  <si>
    <t>Vinyl Flooring</t>
  </si>
  <si>
    <t>Wood Flooring</t>
  </si>
  <si>
    <t>Anaerobically Digested (Dry Digestate with Curing)</t>
  </si>
  <si>
    <t>Anaerobically Digested (Wet  Digestate with Curing)</t>
  </si>
  <si>
    <t>Recycled</t>
  </si>
  <si>
    <t>Landfilled</t>
  </si>
  <si>
    <t>Composted</t>
  </si>
  <si>
    <t>Waste Emission Factors</t>
  </si>
  <si>
    <r>
      <t>Metric Tons CO</t>
    </r>
    <r>
      <rPr>
        <b/>
        <vertAlign val="subscript"/>
        <sz val="10"/>
        <rFont val="Arial"/>
        <family val="2"/>
      </rPr>
      <t>2</t>
    </r>
    <r>
      <rPr>
        <b/>
        <sz val="10"/>
        <rFont val="Arial"/>
        <family val="2"/>
      </rPr>
      <t>e / Short Ton Material</t>
    </r>
  </si>
  <si>
    <t>NA</t>
  </si>
  <si>
    <r>
      <t>Total CO</t>
    </r>
    <r>
      <rPr>
        <b/>
        <vertAlign val="subscript"/>
        <sz val="10"/>
        <rFont val="Arial"/>
        <family val="2"/>
      </rPr>
      <t>2</t>
    </r>
    <r>
      <rPr>
        <b/>
        <sz val="10"/>
        <rFont val="Arial"/>
        <family val="2"/>
      </rPr>
      <t xml:space="preserve"> Equivalent Emissions  (metric tons) - Waste</t>
    </r>
  </si>
  <si>
    <t>Scope 3 Emissions from Waste - HELP SHEET</t>
  </si>
  <si>
    <r>
      <t>Enter the data into the appropriate orange colored boxes (Tables 1) of the Calculator section titled “Waste.”  Once the data are entered into the Calculator, the CO</t>
    </r>
    <r>
      <rPr>
        <vertAlign val="subscript"/>
        <sz val="10"/>
        <rFont val="Arial"/>
        <family val="2"/>
      </rPr>
      <t>2</t>
    </r>
    <r>
      <rPr>
        <sz val="10"/>
        <rFont val="Arial"/>
        <family val="2"/>
      </rPr>
      <t xml:space="preserve"> equivalent emissions are calculated and summarized in the green colored box. </t>
    </r>
  </si>
  <si>
    <t>Weight of waste disposed by material type and disposal method</t>
  </si>
  <si>
    <r>
      <t xml:space="preserve">The EPA Simplified GHG Emissions Calculator ("the Calculator") is designed as a simplified calculation tool to help organizations estimate and inventory their annual greenhouse gas (GHG) emissions for US-based operations. All methodologies and default values provided are based on the most current Center for Corporate Climate Leadership Greenhouse </t>
    </r>
    <r>
      <rPr>
        <i/>
        <sz val="11"/>
        <rFont val="Arial"/>
        <family val="2"/>
      </rPr>
      <t>Gas Inventory Guidance Documents</t>
    </r>
    <r>
      <rPr>
        <sz val="11"/>
        <rFont val="Arial"/>
        <family val="2"/>
      </rPr>
      <t xml:space="preserve"> and the</t>
    </r>
    <r>
      <rPr>
        <i/>
        <sz val="11"/>
        <rFont val="Arial"/>
        <family val="2"/>
      </rPr>
      <t xml:space="preserve"> Emission Factors Hub</t>
    </r>
    <r>
      <rPr>
        <sz val="11"/>
        <rFont val="Arial"/>
        <family val="2"/>
      </rPr>
      <t>. The Calculator will quantify the direct and indirect emissions from sources at an organization when activity data are entered into the various sections of the workbook for one annual period.</t>
    </r>
  </si>
  <si>
    <t>Waste Generated in Operations</t>
  </si>
  <si>
    <t xml:space="preserve">Do you generate waste that is disposed of in a facility owned by another organization? </t>
  </si>
  <si>
    <t xml:space="preserve"> Total Emissions by Disposal Method</t>
  </si>
  <si>
    <t>Passenger Cars - Gasoline</t>
  </si>
  <si>
    <t>Light-Duty Trucks - Gasoline</t>
  </si>
  <si>
    <t>Heavy-Duty Vehicles - Gasoline</t>
  </si>
  <si>
    <t>Motorcycles - Gasoline</t>
  </si>
  <si>
    <t>Passenger Cars - Diesel</t>
  </si>
  <si>
    <t>Light-Duty Trucks - Diesel</t>
  </si>
  <si>
    <t>Medium- and Heavy-Duty Vehicles - Diesel</t>
  </si>
  <si>
    <t>Light-Duty Cars - Methanol</t>
  </si>
  <si>
    <t>Light-Duty Cars - Ethanol</t>
  </si>
  <si>
    <t>Light-Duty Cars - CNG</t>
  </si>
  <si>
    <t>Light-Duty Cars - LPG</t>
  </si>
  <si>
    <t>Light-Duty Cars - Biodiesel</t>
  </si>
  <si>
    <t>Light-Duty Trucks - Ethanol</t>
  </si>
  <si>
    <t>Light-Duty Trucks - CNG</t>
  </si>
  <si>
    <t>Light-Duty Trucks - LPG</t>
  </si>
  <si>
    <t>Light-Duty Trucks - LNG</t>
  </si>
  <si>
    <t>Light-Duty Trucks - Biodiesel</t>
  </si>
  <si>
    <t>Medium-Duty Trucks - CNG</t>
  </si>
  <si>
    <t>Medium-Duty Trucks - LPG</t>
  </si>
  <si>
    <t>Medium-Duty Trucks - LNG</t>
  </si>
  <si>
    <t>Medium-Duty Trucks - Biodiesel</t>
  </si>
  <si>
    <t>Heavy-Duty Trucks - Methanol</t>
  </si>
  <si>
    <t>Heavy-Duty Trucks - Ethanol</t>
  </si>
  <si>
    <t>Heavy-Duty Trucks - CNG</t>
  </si>
  <si>
    <t>Heavy-Duty Trucks - LPG</t>
  </si>
  <si>
    <t>Heavy-Duty Trucks - LNG</t>
  </si>
  <si>
    <t>Heavy-Duty Trucks - Biodiesel</t>
  </si>
  <si>
    <t>Buses - Methanol</t>
  </si>
  <si>
    <t>Buses - Ethanol</t>
  </si>
  <si>
    <t>Buses - CNG</t>
  </si>
  <si>
    <t>Buses - LPG</t>
  </si>
  <si>
    <t>Buses - LNG</t>
  </si>
  <si>
    <t>Buses - Biodiesel</t>
  </si>
  <si>
    <t>Aircraft - Jet Fuel</t>
  </si>
  <si>
    <t>Aircraft - Aviation Gasoline</t>
  </si>
  <si>
    <t>Ships and Boats - Residual Fuel Oil</t>
  </si>
  <si>
    <t>Ships and Boats - Diesel</t>
  </si>
  <si>
    <t>Locomotives - Diesel</t>
  </si>
  <si>
    <t xml:space="preserve">The Vehicle Type column is organized in order of most common vehicle types and their fuels. </t>
  </si>
  <si>
    <t>Waste</t>
  </si>
  <si>
    <t>Mixed Paper general</t>
  </si>
  <si>
    <t>Food Waste meat only</t>
  </si>
  <si>
    <t>Mixed Paper primarily residential</t>
  </si>
  <si>
    <t>Mixed Paper primarily from offices</t>
  </si>
  <si>
    <t>Mixed MSW municipal solid waste</t>
  </si>
  <si>
    <t>Flat panel Displays</t>
  </si>
  <si>
    <t>Food Waste non meat</t>
  </si>
  <si>
    <t>Medium density Fiberboard</t>
  </si>
  <si>
    <t>Magazines and Third class mail</t>
  </si>
  <si>
    <t>Hard copy Devices</t>
  </si>
  <si>
    <t xml:space="preserve">Collect information on the amount of weight disposed at your facilities, by the type of waste (plastics, paper, etc.) and disposal method (recycling, incineration, etc.). Refer to the Emission Factors tab for a complete list of materials and available disposal methods. </t>
  </si>
  <si>
    <t>Non-highway vehicles should be classified as "Other Offroad Equipment"</t>
  </si>
  <si>
    <r>
      <t>After the data has been collected, it should be entered into the appropriate orange colored boxes of the Calculator section titled “Stationary Combustion.”  The fuel type can be selected from the form.  After the data are entered into the Calculator, the CO</t>
    </r>
    <r>
      <rPr>
        <vertAlign val="subscript"/>
        <sz val="10"/>
        <rFont val="Arial"/>
        <family val="2"/>
      </rPr>
      <t>2</t>
    </r>
    <r>
      <rPr>
        <sz val="10"/>
        <rFont val="Arial"/>
        <family val="2"/>
      </rPr>
      <t xml:space="preserve"> equivalent emissions are displayed in the blue colored box.  </t>
    </r>
  </si>
  <si>
    <r>
      <t>Enter the data into the appropriate orange colored boxes of the Calculator section titled “Mobile Sources.”  If the organization owns or leases biofuel or ethanol vehicles, the percentage of biologically-based fuel should be entered into the boxes provided; default values are available if needed.  Once the data are entered into the Calculator, the CO</t>
    </r>
    <r>
      <rPr>
        <vertAlign val="subscript"/>
        <sz val="10"/>
        <rFont val="Arial"/>
        <family val="2"/>
      </rPr>
      <t>2</t>
    </r>
    <r>
      <rPr>
        <sz val="10"/>
        <rFont val="Arial"/>
        <family val="2"/>
      </rPr>
      <t xml:space="preserve"> equivalent emissions are calculated and summarized in the blue colored box.  Biomass CO</t>
    </r>
    <r>
      <rPr>
        <vertAlign val="subscript"/>
        <sz val="10"/>
        <rFont val="Arial"/>
        <family val="2"/>
      </rPr>
      <t>2</t>
    </r>
    <r>
      <rPr>
        <sz val="10"/>
        <rFont val="Arial"/>
        <family val="2"/>
      </rPr>
      <t xml:space="preserve"> emissions are calculated and summarized in the green colored box, and are typically not summed into the organization’s total GHG emissions because they are considered to be a net zero emission source.</t>
    </r>
  </si>
  <si>
    <r>
      <t>Table 1.  Organization-Wide Refrigeration Gas CO</t>
    </r>
    <r>
      <rPr>
        <b/>
        <vertAlign val="subscript"/>
        <sz val="10"/>
        <rFont val="Arial"/>
        <family val="2"/>
      </rPr>
      <t>2</t>
    </r>
    <r>
      <rPr>
        <b/>
        <sz val="10"/>
        <rFont val="Arial"/>
        <family val="2"/>
      </rPr>
      <t xml:space="preserve"> Equivalent Emissions - Material Balance</t>
    </r>
  </si>
  <si>
    <r>
      <t>Table 2.  Organization-Wide Refrigeration Gas CO</t>
    </r>
    <r>
      <rPr>
        <b/>
        <vertAlign val="subscript"/>
        <sz val="10"/>
        <rFont val="Arial"/>
        <family val="2"/>
      </rPr>
      <t>2</t>
    </r>
    <r>
      <rPr>
        <b/>
        <sz val="10"/>
        <rFont val="Arial"/>
        <family val="2"/>
      </rPr>
      <t xml:space="preserve"> Equivalent Emissions - Simplified Material Balance</t>
    </r>
  </si>
  <si>
    <r>
      <t>Table 1.  Organization-Wide Fire Suppression Gas CO</t>
    </r>
    <r>
      <rPr>
        <b/>
        <vertAlign val="subscript"/>
        <sz val="10"/>
        <rFont val="Arial"/>
        <family val="2"/>
      </rPr>
      <t>2</t>
    </r>
    <r>
      <rPr>
        <b/>
        <sz val="10"/>
        <rFont val="Arial"/>
        <family val="2"/>
      </rPr>
      <t xml:space="preserve"> Equivalent Emissions - Material Balance</t>
    </r>
  </si>
  <si>
    <r>
      <t>Table 2.  Organization-Wide Fire Suppression Gas CO</t>
    </r>
    <r>
      <rPr>
        <b/>
        <vertAlign val="subscript"/>
        <sz val="10"/>
        <rFont val="Arial"/>
        <family val="2"/>
      </rPr>
      <t>2</t>
    </r>
    <r>
      <rPr>
        <b/>
        <sz val="10"/>
        <rFont val="Arial"/>
        <family val="2"/>
      </rPr>
      <t xml:space="preserve"> Equivalent Emissions - Simplified Material Balance</t>
    </r>
  </si>
  <si>
    <t>Intercity Rail - Northeast Corridor</t>
  </si>
  <si>
    <t>Intercity Rail - Other Routes</t>
  </si>
  <si>
    <t>Intercity Rail - National Average</t>
  </si>
  <si>
    <r>
      <t>Collect electricity purchase information in units of kWh for each facility.  The best data source is typically its electricity bill or invoice.  In the Calculator, there is a map at the bottom of the “Electricity” section which divides the United States into subregions based on the electric grid.  Select the subregion(s) in which the organization’s facilities are located to determine the correct CO</t>
    </r>
    <r>
      <rPr>
        <vertAlign val="subscript"/>
        <sz val="10"/>
        <rFont val="Arial"/>
        <family val="2"/>
      </rPr>
      <t>2</t>
    </r>
    <r>
      <rPr>
        <sz val="10"/>
        <rFont val="Arial"/>
        <family val="2"/>
      </rPr>
      <t>, CH</t>
    </r>
    <r>
      <rPr>
        <vertAlign val="subscript"/>
        <sz val="10"/>
        <rFont val="Arial"/>
        <family val="2"/>
      </rPr>
      <t>4</t>
    </r>
    <r>
      <rPr>
        <sz val="10"/>
        <rFont val="Arial"/>
        <family val="2"/>
      </rPr>
      <t>, and N</t>
    </r>
    <r>
      <rPr>
        <vertAlign val="subscript"/>
        <sz val="10"/>
        <rFont val="Arial"/>
        <family val="2"/>
      </rPr>
      <t>2</t>
    </r>
    <r>
      <rPr>
        <sz val="10"/>
        <rFont val="Arial"/>
        <family val="2"/>
      </rPr>
      <t xml:space="preserve">O emission factors to use, since different parts of the country use different fuels to generate electricity. Multiple facility locations can be entered as separate line items in the Calculator.  If a facility is on the border of a subregion, enter the zip code into EPA's Power Profiler (https://oaspub.epa.gov/powpro/ept_pack.charts) to find the correct subregion.  </t>
    </r>
  </si>
  <si>
    <r>
      <t>Scope 3 emissions from waste include the disposal and treatment of waste generated in the reporting company’s operations in the reporting year in facilities not owned or controlled by the reporting company. These emission factors align with the requirements of the GHG Protocol Scope 3 Standard. The emission factors do not include any avoided emissions impact from any of the disposal methods. All the factors presented include transportation emissions, which are optional in the Scope 3 Calculation Guidance, with an assumed average distance traveled to the processing facility. AR4 GWPs are used to convert all waste emission factors into CO</t>
    </r>
    <r>
      <rPr>
        <vertAlign val="subscript"/>
        <sz val="10"/>
        <rFont val="Arial"/>
        <family val="2"/>
      </rPr>
      <t>2</t>
    </r>
    <r>
      <rPr>
        <sz val="10"/>
        <rFont val="Arial"/>
        <family val="2"/>
      </rPr>
      <t xml:space="preserve">e.   </t>
    </r>
  </si>
  <si>
    <r>
      <t>1.  CO</t>
    </r>
    <r>
      <rPr>
        <vertAlign val="subscript"/>
        <sz val="8"/>
        <rFont val="Arial"/>
        <family val="2"/>
      </rPr>
      <t>2</t>
    </r>
    <r>
      <rPr>
        <sz val="8"/>
        <rFont val="Arial"/>
        <family val="2"/>
      </rPr>
      <t>, CH</t>
    </r>
    <r>
      <rPr>
        <vertAlign val="subscript"/>
        <sz val="8"/>
        <rFont val="Arial"/>
        <family val="2"/>
      </rPr>
      <t>4</t>
    </r>
    <r>
      <rPr>
        <sz val="8"/>
        <rFont val="Arial"/>
        <family val="2"/>
      </rPr>
      <t xml:space="preserve"> and N</t>
    </r>
    <r>
      <rPr>
        <vertAlign val="subscript"/>
        <sz val="8"/>
        <rFont val="Arial"/>
        <family val="2"/>
      </rPr>
      <t>2</t>
    </r>
    <r>
      <rPr>
        <sz val="8"/>
        <rFont val="Arial"/>
        <family val="2"/>
      </rPr>
      <t>O emissions are estimated using methodology provided in EPA's Center for Corporate Climate Leadership Greenhouse Gas Inventory Guidance</t>
    </r>
  </si>
  <si>
    <t>short ton / short ton</t>
  </si>
  <si>
    <t>short ton / g</t>
  </si>
  <si>
    <t>short ton / kg</t>
  </si>
  <si>
    <t>short ton / lb</t>
  </si>
  <si>
    <r>
      <t xml:space="preserve">(A) Enter annual data for each vehicle or group of vehicles (grouped by vehicle type, vehicle year, and fuel type) in ORANGE cells in 
     </t>
    </r>
    <r>
      <rPr>
        <b/>
        <sz val="10"/>
        <rFont val="Arial"/>
        <family val="2"/>
      </rPr>
      <t>Table 1</t>
    </r>
    <r>
      <rPr>
        <sz val="10"/>
        <rFont val="Arial"/>
        <family val="2"/>
      </rPr>
      <t>.  Example entry is shown in first row (</t>
    </r>
    <r>
      <rPr>
        <sz val="10"/>
        <color indexed="21"/>
        <rFont val="Arial"/>
        <family val="2"/>
      </rPr>
      <t>GREEN</t>
    </r>
    <r>
      <rPr>
        <sz val="10"/>
        <rFont val="Arial"/>
        <family val="2"/>
      </rPr>
      <t xml:space="preserve"> </t>
    </r>
    <r>
      <rPr>
        <i/>
        <sz val="10"/>
        <color indexed="21"/>
        <rFont val="Arial"/>
        <family val="2"/>
      </rPr>
      <t>Italics</t>
    </r>
    <r>
      <rPr>
        <sz val="10"/>
        <rFont val="Arial"/>
        <family val="2"/>
      </rPr>
      <t xml:space="preserve">).  Only enter </t>
    </r>
    <r>
      <rPr>
        <u/>
        <sz val="10"/>
        <rFont val="Arial"/>
        <family val="2"/>
      </rPr>
      <t>vehicles owned or leased</t>
    </r>
    <r>
      <rPr>
        <sz val="10"/>
        <rFont val="Arial"/>
        <family val="2"/>
      </rPr>
      <t xml:space="preserve"> by your organization on 
     this sheet.  All other vehicle use such as employee commuting or business travel is considered a scope 3 emissions source 
     and should be reported in the corresponding scope 3 sheets. </t>
    </r>
  </si>
  <si>
    <r>
      <t xml:space="preserve">   (A) Enter annual waste data in ORANGE cells.  Example entry is shown in first row (</t>
    </r>
    <r>
      <rPr>
        <i/>
        <sz val="10"/>
        <color indexed="21"/>
        <rFont val="Arial"/>
        <family val="2"/>
      </rPr>
      <t>GREEN Italics</t>
    </r>
    <r>
      <rPr>
        <sz val="10"/>
        <rFont val="Arial"/>
        <family val="2"/>
      </rPr>
      <t>).</t>
    </r>
  </si>
  <si>
    <t xml:space="preserve">   (C) Choose an appropriate disposal method.  Note that not all disposal methods are available for all materials.  If there is a #NA or # Value error in the emissions column, you must pick a 
    new material type or appropriate disposal method. </t>
  </si>
  <si>
    <r>
      <t xml:space="preserve">If you have multiple Calculator files covering sub-sets of your inventory for a particular reporting period, sum each of the emission categories (e.g. Stationary Combustion) to an organizational total, which then can be entered into the </t>
    </r>
    <r>
      <rPr>
        <i/>
        <sz val="11"/>
        <rFont val="Arial"/>
        <family val="2"/>
      </rPr>
      <t>Annual GHG Inventory Summary and Goal Tracking Form</t>
    </r>
    <r>
      <rPr>
        <sz val="11"/>
        <rFont val="Arial"/>
        <family val="2"/>
      </rPr>
      <t>.</t>
    </r>
  </si>
  <si>
    <r>
      <t>Table 1.  Waste Disposal Weight by Waste Material and Disposal Method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</si>
  <si>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https://www.epa.gov/egrid/power-profiler#/</t>
  </si>
  <si>
    <t>Gasoline (2 stroke)</t>
  </si>
  <si>
    <t>Gasoline (4 stroke)</t>
  </si>
  <si>
    <t>Lawn and Garden Equipment</t>
  </si>
  <si>
    <t>Airport Equipment</t>
  </si>
  <si>
    <t>Industrial/Commercial Equipment</t>
  </si>
  <si>
    <t>Logging Equipment</t>
  </si>
  <si>
    <t>Railroad Equipment</t>
  </si>
  <si>
    <t>Recreational Equipment</t>
  </si>
  <si>
    <t>Agricultural Equipment</t>
  </si>
  <si>
    <t>Construction/Mining Equipment</t>
  </si>
  <si>
    <t>PRMS (Puerto Rico Miscellaneous)</t>
  </si>
  <si>
    <r>
      <rPr>
        <b/>
        <sz val="9"/>
        <rFont val="Arial"/>
        <family val="2"/>
      </rPr>
      <t xml:space="preserve">Notes: </t>
    </r>
    <r>
      <rPr>
        <sz val="9"/>
        <rFont val="Arial"/>
        <family val="2"/>
      </rPr>
      <t>These factors do not include any avoided emissions impact from any of the disposal methods. All the factors presented here include transportation emissions, which are optional in the Scope 3 Calculation Guidance, with an assumed average distance traveled to the processing facility. AR4 GWPs are used to convert all waste emission factors into CO</t>
    </r>
    <r>
      <rPr>
        <vertAlign val="subscript"/>
        <sz val="9"/>
        <rFont val="Arial"/>
        <family val="2"/>
      </rPr>
      <t>2</t>
    </r>
    <r>
      <rPr>
        <sz val="9"/>
        <rFont val="Arial"/>
        <family val="2"/>
      </rPr>
      <t xml:space="preserve">e.   
Recycling emissions include transport to recycling facility and sorting of recycled materials at material recovery facility.  
Landfilling emissions include transport to landfill, equipment use at landfill and fugitive landfill CH4 emissions.  Landfill CH4 is based on typical landfill gas collection practices and average landfill moisture conditions.
Combustion emissions include transport to combustion facility and combustion-related non-biogenic CO2 and N2O  
Composting emissions include transport to composting facility, equipment use at composting facility and CH4 and N2O emissions during composting. </t>
    </r>
  </si>
  <si>
    <t>On-Road or Non-Road?</t>
  </si>
  <si>
    <t>Ships and Boats - Gasoline (2 stroke)</t>
  </si>
  <si>
    <t>Ships and Boats - Gasoline (4 stroke)</t>
  </si>
  <si>
    <t>Agricultural Equipment - Gasoline (2 stroke)</t>
  </si>
  <si>
    <t>Agricultural Equipment - Gasoline (4 stroke)</t>
  </si>
  <si>
    <t>Agricultural Equipment - LPG</t>
  </si>
  <si>
    <t>Construction/Mining Equipment - Gasoline (2 stroke)</t>
  </si>
  <si>
    <t>Construction/Mining Equipment - Gasoline (4 stroke)</t>
  </si>
  <si>
    <t>Construction/Mining Equipment - LPG</t>
  </si>
  <si>
    <t>Lawn and Garden Equipment - Gasoline (2 stroke)</t>
  </si>
  <si>
    <t>Lawn and Garden Equipment - Gasoline (4 stroke)</t>
  </si>
  <si>
    <t>Lawn and Garden Equipment - Diesel</t>
  </si>
  <si>
    <t>Lawn and Garden Equipment - LPG</t>
  </si>
  <si>
    <t>Airport Equipment - Gasoline</t>
  </si>
  <si>
    <t>Airport Equipment - Diesel</t>
  </si>
  <si>
    <t>Airport Equipment - LPG</t>
  </si>
  <si>
    <t>Industrial/Commercial Equipment - Gasoline (2 stroke)</t>
  </si>
  <si>
    <t>Industrial/Commercial Equipment - Gasoline (4 stroke)</t>
  </si>
  <si>
    <t>Industrial/Commercial Equipment - Diesel</t>
  </si>
  <si>
    <t>Industrial/Commercial Equipment - LPG</t>
  </si>
  <si>
    <t>Logging Equipment - Gasoline (2 stroke)</t>
  </si>
  <si>
    <t>Logging Equipment - Gasoline (4 stroke)</t>
  </si>
  <si>
    <t>Logging Equipment - Diesel</t>
  </si>
  <si>
    <t>Railroad Equipment - Gasoline</t>
  </si>
  <si>
    <t>Railroad Equipment - Diesel</t>
  </si>
  <si>
    <t>Railroad Equipment - LPG</t>
  </si>
  <si>
    <t>Recreational Equipment - Gasoline (2 stroke)</t>
  </si>
  <si>
    <t>Recreational Equipment - Gasoline (4 stroke)</t>
  </si>
  <si>
    <t>Recreational Equipment - Diesel</t>
  </si>
  <si>
    <t>Recreational Equipment - LPG</t>
  </si>
  <si>
    <t>OnRoad</t>
  </si>
  <si>
    <t>NonRoad</t>
  </si>
  <si>
    <t xml:space="preserve">                  - Choose the appropriate gas from the Gas drop down menu.</t>
  </si>
  <si>
    <t xml:space="preserve"> - Use map (Figure 1) at bottom of sheet to determine appropriate eGRID subregion.  If subregion cannot be determined from the map, find the correct subregion by entering the location's zip code into EPA’s Power Profiler:</t>
  </si>
  <si>
    <r>
      <t xml:space="preserve">Location-Based
</t>
    </r>
    <r>
      <rPr>
        <i/>
        <sz val="10"/>
        <rFont val="Arial"/>
        <family val="2"/>
      </rPr>
      <t>Use these cells to enter emission factors from the steam supplier (if available)</t>
    </r>
  </si>
  <si>
    <r>
      <t xml:space="preserve">Market-Based
</t>
    </r>
    <r>
      <rPr>
        <i/>
        <sz val="10"/>
        <rFont val="Arial"/>
        <family val="2"/>
      </rPr>
      <t xml:space="preserve">Use these cells to enter market-based emission factors if different than the supplier emission factors. </t>
    </r>
  </si>
  <si>
    <t xml:space="preserve">- Typically supplier emission factors for steam will apply to both location-based and market-based emissions, and no 
  market-based emission factors need to be entered.  However, if there are different applicable market-based emission factors, 
  enter the factors in the yellow cells marked as "&lt;enter factor&gt;". If needed, see the market-based method Help Sheet for guidance. </t>
  </si>
  <si>
    <r>
      <t xml:space="preserve">                  - Enter supplier emission factors for CO</t>
    </r>
    <r>
      <rPr>
        <vertAlign val="subscript"/>
        <sz val="10"/>
        <rFont val="Arial"/>
        <family val="2"/>
      </rPr>
      <t>2</t>
    </r>
    <r>
      <rPr>
        <sz val="10"/>
        <rFont val="Arial"/>
        <family val="2"/>
      </rPr>
      <t>, CH</t>
    </r>
    <r>
      <rPr>
        <vertAlign val="subscript"/>
        <sz val="10"/>
        <rFont val="Arial"/>
        <family val="2"/>
      </rPr>
      <t>4,</t>
    </r>
    <r>
      <rPr>
        <sz val="10"/>
        <rFont val="Arial"/>
        <family val="2"/>
      </rPr>
      <t xml:space="preserve"> and N</t>
    </r>
    <r>
      <rPr>
        <vertAlign val="subscript"/>
        <sz val="10"/>
        <rFont val="Arial"/>
        <family val="2"/>
      </rPr>
      <t>2</t>
    </r>
    <r>
      <rPr>
        <sz val="10"/>
        <rFont val="Arial"/>
        <family val="2"/>
      </rPr>
      <t>O in the purple cells marked as "&lt;enter factor&gt;" if available, otherwise leave factor cells blank.</t>
    </r>
  </si>
  <si>
    <t>WARM Material</t>
  </si>
  <si>
    <r>
      <t xml:space="preserve">Material for SGEC Lookup 
</t>
    </r>
    <r>
      <rPr>
        <sz val="10"/>
        <color rgb="FFFF0000"/>
        <rFont val="Arial"/>
        <family val="2"/>
      </rPr>
      <t>(red text indicates different name from WARM)</t>
    </r>
  </si>
  <si>
    <r>
      <t>Total Organization-Wide Mobile Source Fuel Usage and CO</t>
    </r>
    <r>
      <rPr>
        <b/>
        <vertAlign val="subscript"/>
        <sz val="10"/>
        <rFont val="Arial"/>
        <family val="2"/>
      </rPr>
      <t>2</t>
    </r>
    <r>
      <rPr>
        <b/>
        <sz val="10"/>
        <rFont val="Arial"/>
        <family val="2"/>
      </rPr>
      <t xml:space="preserve"> Emissions (On-Road and Off-Road Vehicles)</t>
    </r>
  </si>
  <si>
    <r>
      <t>Total Organization-Wide On-Road Gasoline Mobile Source Mileage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</si>
  <si>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r>
      <t>Total Organization-Wide On-Road Non-Gasoline Mobile Source Mileage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</si>
  <si>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r>
      <t>Total Organization-Wide Non-Road Mobile Source Fuel Usage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</si>
  <si>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t>Note: emissions here are only for the gasoline portion of the fuel, biogenic CO2 emissions are reported below</t>
  </si>
  <si>
    <t>Note: emissions here are only for the diesel portion of the fuel, biogenic CO2 emissions are reported below</t>
  </si>
  <si>
    <r>
      <t>(C) Biomass CO</t>
    </r>
    <r>
      <rPr>
        <vertAlign val="subscript"/>
        <sz val="10"/>
        <rFont val="Arial"/>
        <family val="2"/>
      </rPr>
      <t>2</t>
    </r>
    <r>
      <rPr>
        <sz val="10"/>
        <rFont val="Arial"/>
        <family val="2"/>
      </rPr>
      <t xml:space="preserve"> emissions from biodiesel and ethanol are not reported in the total emissions, but are reported separately at the bottom of the sheet.</t>
    </r>
  </si>
  <si>
    <t xml:space="preserve"> - Vehicle year and Miles traveled are not necessary for non-road equiment.</t>
  </si>
  <si>
    <r>
      <t xml:space="preserve">  (A)  Any use and release of the seven major greenhouse gases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6</t>
    </r>
    <r>
      <rPr>
        <sz val="10"/>
        <rFont val="Arial"/>
        <family val="2"/>
      </rPr>
      <t>, and NF</t>
    </r>
    <r>
      <rPr>
        <vertAlign val="subscript"/>
        <sz val="10"/>
        <rFont val="Arial"/>
        <family val="2"/>
      </rPr>
      <t>3</t>
    </r>
    <r>
      <rPr>
        <sz val="10"/>
        <rFont val="Arial"/>
        <family val="2"/>
      </rPr>
      <t>) is required to be included in the  
        GHG inventory. Ozone depleting substances, such as CFCs and HCFCs, are regulated internationally and are typically excluded from a GHG 
       inventory or reported as a memo item.</t>
    </r>
  </si>
  <si>
    <t xml:space="preserve">    Direct Fugitive Emissions from Refrigeration, Air Conditioning, Fire Suppression and Industrial Gases. (Dec 2020).</t>
  </si>
  <si>
    <r>
      <t xml:space="preserve">(D) For employees traveling by rail or bus, select "Vehicle Type" and enter miles traveled (passenger-miles) in </t>
    </r>
    <r>
      <rPr>
        <b/>
        <sz val="10"/>
        <rFont val="Arial"/>
        <family val="2"/>
      </rPr>
      <t>Table 2</t>
    </r>
    <r>
      <rPr>
        <sz val="10"/>
        <rFont val="Arial"/>
        <family val="2"/>
      </rPr>
      <t xml:space="preserve">.  </t>
    </r>
  </si>
  <si>
    <r>
      <t xml:space="preserve">(C) For employees commuting using public transportation, select the "Transport Type" and enter miles traveled (passenger-miles) in </t>
    </r>
    <r>
      <rPr>
        <b/>
        <sz val="10"/>
        <rFont val="Arial"/>
        <family val="2"/>
      </rPr>
      <t>Table 2</t>
    </r>
    <r>
      <rPr>
        <sz val="10"/>
        <rFont val="Arial"/>
        <family val="2"/>
      </rPr>
      <t xml:space="preserve">.  </t>
    </r>
  </si>
  <si>
    <t xml:space="preserve">Short Ton-Miles </t>
  </si>
  <si>
    <r>
      <t xml:space="preserve">(B) For rail, water, or air shipments, enter short ton-mile data in </t>
    </r>
    <r>
      <rPr>
        <b/>
        <sz val="10"/>
        <rFont val="Arial"/>
        <family val="2"/>
      </rPr>
      <t>Table 2.</t>
    </r>
    <r>
      <rPr>
        <sz val="10"/>
        <rFont val="Arial"/>
        <family val="2"/>
      </rPr>
      <t xml:space="preserve">  See Help sheet for details on calculating short ton-miles.</t>
    </r>
  </si>
  <si>
    <t xml:space="preserve">(D) For road shipments, if your organization's product makes up only part of the truck load (i.e. less-than-load or LTL shipment), then enter the vehicle type and short ton-miles (product weight (short tons) x distance) for each leg of transport in Table 2.  Emissions are calculated using short ton-miles.  See Help sheet for details on calculating ton-miles. </t>
  </si>
  <si>
    <r>
      <t xml:space="preserve">1.  Leak rates of fire extinguishers from Page A-28, </t>
    </r>
    <r>
      <rPr>
        <i/>
        <sz val="8"/>
        <rFont val="Arial"/>
        <family val="2"/>
      </rPr>
      <t>US EPA (2021) - Inventory of U.S. Greenhouse Gas Emissions and Sinks:  1990 - 2018.</t>
    </r>
  </si>
  <si>
    <r>
      <t xml:space="preserve">The total GHG emissions from each source category are provided below. You may also use this summary sheet to fill out the </t>
    </r>
    <r>
      <rPr>
        <i/>
        <sz val="11"/>
        <rFont val="Arial"/>
        <family val="2"/>
      </rPr>
      <t>Annual GHG Inventory Summary and Goal Tracking Form</t>
    </r>
    <r>
      <rPr>
        <sz val="11"/>
        <rFont val="Arial"/>
        <family val="2"/>
      </rPr>
      <t xml:space="preserve"> (.xls) as this calculator only quantifies one year of emissions at a time. </t>
    </r>
  </si>
  <si>
    <t>https://www.epa.gov/climateleadership/target-setting</t>
  </si>
  <si>
    <t>1983-2006</t>
  </si>
  <si>
    <t>Mixed MSW</t>
  </si>
  <si>
    <t>https://www.epa.gov/climateleadership/scope-1-and-scope-2-inventory-guidance</t>
  </si>
  <si>
    <t xml:space="preserve">   (B) First, choose the appropriate material then the disposal method from the drop down options. For the average-data method, use one of the mixed material types, such as mixed 
    MSW. If the exact waste material is not available, consider an appropriate proxy. For example, dimensional lumber can be used as a proxy for wood furniture.</t>
  </si>
  <si>
    <r>
      <t xml:space="preserve">(E) For employees traveling by air, select "Flight Length" and enter miles traveled (passenger-miles) in </t>
    </r>
    <r>
      <rPr>
        <b/>
        <sz val="10"/>
        <rFont val="Arial"/>
        <family val="2"/>
      </rPr>
      <t>Table 3</t>
    </r>
    <r>
      <rPr>
        <sz val="10"/>
        <rFont val="Arial"/>
        <family val="2"/>
      </rPr>
      <t xml:space="preserve">. </t>
    </r>
  </si>
  <si>
    <t xml:space="preserve">Access the guide: </t>
  </si>
  <si>
    <t>Scope 3 Emissions from Upstream Transportation and Distribution</t>
  </si>
  <si>
    <r>
      <t>Table 1.  On-Road Product Transport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</si>
  <si>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 xml:space="preserve"> Total Emissions by Transportation Mode Type</t>
  </si>
  <si>
    <r>
      <t>Total CO</t>
    </r>
    <r>
      <rPr>
        <b/>
        <vertAlign val="subscript"/>
        <sz val="10"/>
        <rFont val="Arial"/>
        <family val="2"/>
      </rPr>
      <t>2</t>
    </r>
    <r>
      <rPr>
        <b/>
        <sz val="10"/>
        <rFont val="Arial"/>
        <family val="2"/>
      </rPr>
      <t xml:space="preserve"> Equivalent Emissions  (metric tons) - Upstream Transportation and Distribution</t>
    </r>
  </si>
  <si>
    <t>Scope 3 Emissions from Upstream Transportation and Distribution - HELP SHEET</t>
  </si>
  <si>
    <r>
      <t>Enter the data into the appropriate orange colored boxes (Tables 1-2) of the Calculator section titled “Upstream Transpt. and Dist.”  Once the data are entered into the Calculator, the CO</t>
    </r>
    <r>
      <rPr>
        <vertAlign val="subscript"/>
        <sz val="10"/>
        <rFont val="Arial"/>
        <family val="2"/>
      </rPr>
      <t>2</t>
    </r>
    <r>
      <rPr>
        <sz val="10"/>
        <rFont val="Arial"/>
        <family val="2"/>
      </rPr>
      <t xml:space="preserve"> equivalent emissions are calculated and summarized in the green colored box. </t>
    </r>
  </si>
  <si>
    <t>To calculate ton-miles, multiply the weight transported (short tons) by the distance (miles) for each individual shipment.  In Table 2, you can enter data either for individual shipments, or for the sum of ton-miles for multiple shipments.</t>
  </si>
  <si>
    <t>Upstream Transportation and Distribution</t>
  </si>
  <si>
    <t>Upstream Trans and Dist</t>
  </si>
  <si>
    <t>Help - Upstream Trans and Dist</t>
  </si>
  <si>
    <t xml:space="preserve">    (A) Enter organization information into the orange cells. Other cells on this sheet will be automatically calculated from the data entered in the sheets in this workbook. Blue cells indicate required emission sources if applicable. Green cells indicate scope 3 emission sources and offsets, which organizations may optionally include in its inventory.</t>
  </si>
  <si>
    <t>EPA (2021) Inventory of U.S. Greenhouse Gas Emissions and Sinks: 1990-2019. Page A-275.</t>
  </si>
  <si>
    <t xml:space="preserve">     Tip: Make sure all transport legs are accounted for from manufacturing facility to distribution to customer.</t>
  </si>
  <si>
    <t>Scope 3 emissions from upstream transportation and distribution include all product transportation between product/materials origin to end customers by vehicles not owned or leased by the organization.  For example, the organization could hire another company to transport product from the manufacturing location to distribution centers or final markets. (Note: If an organization owns or leases the trucks or other transport vehicles, these would be part of its scope 1 mobile source emissions). Another example of product transport is paying a courier to transport documents from one office to another.  While this category does include emissions from warehousing of products, there is not currently a place to account for those emissions in this calculator.</t>
  </si>
  <si>
    <t xml:space="preserve">      --- Note: This calculator does not currently provide a place to calculate emissions from distribution warehouses.  </t>
  </si>
  <si>
    <t>Mobile sources, like owned or leased cars and heavy duty vehicles generate emissions by burning fuel.  The fuel usage for any vehicle that is under the organization's operational control should be reported here as scope 1 emissions.  As required by GHG Protocol these emissions are only calculated for the combustion of the fuel (e.g., tank-to-wheel).</t>
  </si>
  <si>
    <t>EPA Simplified GHG Emissions Calculator ("the Calculator")</t>
  </si>
  <si>
    <r>
      <t>Before entering data, please: 1) Enable Macros and 2) Familiarize yourself with the S</t>
    </r>
    <r>
      <rPr>
        <b/>
        <i/>
        <sz val="12"/>
        <color rgb="FF008080"/>
        <rFont val="Arial"/>
        <family val="2"/>
      </rPr>
      <t>implified Guide to GHG Management for Organizations.</t>
    </r>
    <r>
      <rPr>
        <b/>
        <sz val="12"/>
        <color indexed="21"/>
        <rFont val="Arial"/>
        <family val="2"/>
      </rPr>
      <t xml:space="preserve"> 
</t>
    </r>
  </si>
  <si>
    <t>- Emission factors for RECs from many RE sources are zero.</t>
  </si>
  <si>
    <t>https://www.epa.gov/system/files/documents/2022-09/Simplified_Guide_GHG_Management_Organizations.pdf</t>
  </si>
  <si>
    <t>May 2023</t>
  </si>
  <si>
    <t>1996-2005</t>
  </si>
  <si>
    <t>Diesel Equipment</t>
  </si>
  <si>
    <t>Fire Suppressant Leak Rates</t>
  </si>
  <si>
    <t xml:space="preserve">No update needed for v9 -- WARM not yet updated. </t>
  </si>
  <si>
    <t>Mixed (Commercial Sector)</t>
  </si>
  <si>
    <t>Insufficient Data</t>
  </si>
  <si>
    <t>https://www.eia.gov/consumption/commercial/data/2018/index.php?view=characteristics</t>
  </si>
  <si>
    <t>Source: EIA's Commercial Buildings Energy Consumption Survey (CBECS) 2018, Released September 2022.  Table C25: Natural gas consumption and conditional energy intensity by Census region, 2018</t>
  </si>
  <si>
    <t xml:space="preserve">The Energy Information Administration conducts a Commercial Building Energy Consumption Survey and provides average energy consumption by building type per square foot.  Use the numbers below to compare against your data or to estimate for natural gas if no data are available. For example, if you have a 1,000 sq ft office suite in the Northeast multiply by 20.6 to get an estimation of 20,600 scf natural gas for a year.  </t>
  </si>
  <si>
    <t>Source: Commercial Buildings Energy Consumption Survey (CBECS) 2012, Released September 2022.  Table C15: Electricity consumption and conditional energy intensity by Census region, 2018</t>
  </si>
  <si>
    <t>1.  Source- EIA's 2018 Commercial Buildings Energy Consumption Survey, Table C15 (Electricity), Table C25 ( Natural Gas), Table C35 (Fuel Oil). 
     https://www.eia.gov/consumption/commercial/data/2018/index.php?view=consumption#c33-c36</t>
  </si>
  <si>
    <t>e.g., Calendar Year 2022, Fiscal Year 2022</t>
  </si>
  <si>
    <t>Average mpg values from the U.S. Department of Transportation, Federal Highway Administration, Highway Statistics 2020 (November 2022), Table VM-1.</t>
  </si>
  <si>
    <r>
      <t xml:space="preserve">                  - Select "On-Road" or "Non-Road" from drop down box to determine the Vehicle Types available. </t>
    </r>
    <r>
      <rPr>
        <b/>
        <sz val="10"/>
        <rFont val="Arial"/>
        <family val="2"/>
      </rPr>
      <t xml:space="preserve"> Must make this selection before picking vehicle type. </t>
    </r>
  </si>
  <si>
    <r>
      <t>Total Biomass CO</t>
    </r>
    <r>
      <rPr>
        <b/>
        <vertAlign val="subscript"/>
        <sz val="10"/>
        <rFont val="Arial"/>
        <family val="2"/>
      </rPr>
      <t>2</t>
    </r>
    <r>
      <rPr>
        <b/>
        <sz val="10"/>
        <rFont val="Arial"/>
        <family val="2"/>
      </rPr>
      <t xml:space="preserve"> Equivalent Emissions (metric tons) - Mobile Sources</t>
    </r>
  </si>
  <si>
    <r>
      <t>Total CO</t>
    </r>
    <r>
      <rPr>
        <b/>
        <vertAlign val="subscript"/>
        <sz val="10"/>
        <rFont val="Arial"/>
        <family val="2"/>
      </rPr>
      <t>2</t>
    </r>
    <r>
      <rPr>
        <b/>
        <sz val="10"/>
        <rFont val="Arial"/>
        <family val="2"/>
      </rPr>
      <t xml:space="preserve"> Equivalent Emissions (metric tons) - Mobile Sources</t>
    </r>
  </si>
  <si>
    <t>Figure 1.  EPA eGRID2021, January 2023.</t>
  </si>
  <si>
    <r>
      <t xml:space="preserve">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Total Output Emission Factors by Subregion eGRID2021, January 2023.</t>
    </r>
  </si>
  <si>
    <t>EPA, Emission Factors Hub March 2023,  Based on Federal Register EPA; 40 CFR Part 98; e-CFR, (see link below).
Table C-1, Table C-2 (as amended at 81 FR 89252, Dec. 9, 2016), Table AA-1 (78 FR 71965, Nov. 29, 2013).   https://www.ecfr.gov/cgi-bin/text-idx?SID=ae265d7d6f98ec86fcd8640b9793a3f6&amp;mc=true&amp;node=pt40.23.98&amp;rgn=div5#ap40.23.98_19.1</t>
  </si>
  <si>
    <t>Mixed (Industrial Coking)</t>
  </si>
  <si>
    <t>Mixed (Industrial Sector)</t>
  </si>
  <si>
    <t>Agricultural Byproducts</t>
  </si>
  <si>
    <t>Peat</t>
  </si>
  <si>
    <t>Solid Byproducts</t>
  </si>
  <si>
    <t>Additional heat contents can be found in the EF Hub.</t>
  </si>
  <si>
    <t>Air Short Haul (&lt; 300 miles)</t>
  </si>
  <si>
    <t>Air Medium Haul (&gt;= 300 miles, &lt; 2300 miles)</t>
  </si>
  <si>
    <t>Air Long Haul (&gt;= 2300 miles)</t>
  </si>
  <si>
    <t>Other Fuels - Solid</t>
  </si>
  <si>
    <t>Municipal Solid Waste</t>
  </si>
  <si>
    <t>Petroleum Coke (Solid)</t>
  </si>
  <si>
    <t>Plastics</t>
  </si>
  <si>
    <t>Biomass Fuels - Solid</t>
  </si>
  <si>
    <t>Gaseous Fuels</t>
  </si>
  <si>
    <t>Propane Gas</t>
  </si>
  <si>
    <t>Petroleum Products</t>
  </si>
  <si>
    <t>Biomass Fuels - Liquid</t>
  </si>
  <si>
    <t>Rendered Animal Fat</t>
  </si>
  <si>
    <t>Vegetable Oil</t>
  </si>
  <si>
    <t>Upstream Transportation and Distribution Emission Factors</t>
  </si>
  <si>
    <t>Fuel State</t>
  </si>
  <si>
    <t>(solid, liquid, gas)</t>
  </si>
  <si>
    <t xml:space="preserve">                  - Note: As of the v9 Simplified GHG Calculation tool update, the latest mobile combustion factors reflect year 2020 data. Therefore, for all vehicle model years 2021 onward, the 2020 year factor is used. </t>
  </si>
  <si>
    <t>2006-2023</t>
  </si>
  <si>
    <t>2007-2023</t>
  </si>
  <si>
    <t xml:space="preserve">Note: As of the v9 Simplified GHG Calculation tool update, the latest mobile combustion factors reflect year 2020 data. Therefore, for all vehicle model years 2021 onward, the 2020 year factor is used. </t>
  </si>
  <si>
    <t>Assume these CH4 and N2O factors for ethanol light-duty vehicles</t>
  </si>
  <si>
    <t>Assumed these CH4 and N2O factors for ethanol heavy-duty vehicles and buses</t>
  </si>
  <si>
    <t>Held constant from most updated data (year 2020 factor).</t>
  </si>
  <si>
    <t>Held constant for 2021 onwards from most recent data year (year 2020 data).</t>
  </si>
  <si>
    <t xml:space="preserve">Note: These factors do not include upstream transmission and distribution emissions associated with delivered electricity. </t>
  </si>
  <si>
    <t>Note: Global Warming Potential (GWP) factors in the 2023 Emission Factors update associated with the Simplified GHG Calculator Tool v9 release are based on AR4 GWPs, but EPA recognizes that Fifth Assessment Report (AR5) GWPs have been published and used in the Draft Inventory of U.S. Greenhouse Gas Emissions and Sinks: 1990-2021 report (published February 2023). However, this 2023 Emission Factors Hub and the GHG Reporting Program continue to use AR4 GWPs. EPA plans to incorporate AR5 GWPs into the 2024 Emission Factors Hub update.</t>
  </si>
  <si>
    <t>--- Note: The emission factors for air travel do not include radiative forcing. Per the GHG Protocol, for air travel emission factors, multipliers or other corrections to account for radiative forcing may be applied to the GWP of emissions arising from aircraft transport. If applied, companies should disclose the specific factor used.</t>
  </si>
  <si>
    <t>Coal and Coke - Solid</t>
  </si>
  <si>
    <t xml:space="preserve">Reference the below link to the EPA's Emission Factors Hub for source data information and links to the methodology and technical documents associated with each table. </t>
  </si>
  <si>
    <t>Agricultural Equipment - Gasoline Off-Road Trucks</t>
  </si>
  <si>
    <t>Agricultural Equipment - Diesel Equipment</t>
  </si>
  <si>
    <t>Agricultural Equipment - Diesel Off-Road Trucks</t>
  </si>
  <si>
    <t>Construction/Mining Equipment - Gasoline Off-Road Trucks</t>
  </si>
  <si>
    <t>Construction/Mining Equipment - Diesel Equipment</t>
  </si>
  <si>
    <t>Construction/Mining Equipment - Diesel Off-Road Trucks</t>
  </si>
  <si>
    <t>Gasoline Off-Road Trucks</t>
  </si>
  <si>
    <t>Diesel Off-Road Trucks</t>
  </si>
  <si>
    <r>
      <t xml:space="preserve">Vehicle Type
</t>
    </r>
    <r>
      <rPr>
        <sz val="10"/>
        <color rgb="FFFF0000"/>
        <rFont val="Arial"/>
        <family val="2"/>
      </rPr>
      <t>(superscript from EF Hub removed)</t>
    </r>
  </si>
  <si>
    <r>
      <t>N</t>
    </r>
    <r>
      <rPr>
        <b/>
        <vertAlign val="subscript"/>
        <sz val="10"/>
        <rFont val="Arial"/>
        <family val="2"/>
      </rPr>
      <t>2</t>
    </r>
    <r>
      <rPr>
        <b/>
        <sz val="10"/>
        <rFont val="Arial"/>
        <family val="2"/>
      </rPr>
      <t>O Emissions 
(g)</t>
    </r>
  </si>
  <si>
    <r>
      <t>Enter the data into the appropriate orange colored boxes (Tables 1-3) of the Calculator section titled “Business Travel.”  Once the data are entered into the Calculator, the CO</t>
    </r>
    <r>
      <rPr>
        <vertAlign val="subscript"/>
        <sz val="10"/>
        <rFont val="Arial"/>
        <family val="2"/>
      </rPr>
      <t>2</t>
    </r>
    <r>
      <rPr>
        <sz val="10"/>
        <rFont val="Arial"/>
        <family val="2"/>
      </rPr>
      <t xml:space="preserve"> equivalent emissions are calculated and summarized in the green colored box. The emission factors included for air travel do not include radiative forcing. Per the GHG Protocol, for air travel emission factors, multipliers or other corrections to account for radiative forcing may be applied to the GWP of emissions arising from aircraft transport. If applied, companies should disclose the specific factor used.</t>
    </r>
  </si>
  <si>
    <t xml:space="preserve">All emission factors are sourced from EPA's Emission Factors Hub, March 2023 unless otherwise noted. Fuel emission factors presented represent the combustion-only (tank-to-wheel) emissions and do not represent upstream (well-to-wheel) emissions. </t>
  </si>
  <si>
    <t xml:space="preserve">                    (can be assumed to be capacity of retired units minus capacity of new units).</t>
  </si>
  <si>
    <r>
      <t xml:space="preserve">  (A)  Enter quantity of offsets purchased for each offset project in terms of CO</t>
    </r>
    <r>
      <rPr>
        <vertAlign val="subscript"/>
        <sz val="10"/>
        <rFont val="Arial"/>
        <family val="2"/>
      </rPr>
      <t>2</t>
    </r>
    <r>
      <rPr>
        <sz val="10"/>
        <rFont val="Arial"/>
        <family val="2"/>
      </rPr>
      <t xml:space="preserve"> equivalent in ORANGE    
         cells of </t>
    </r>
    <r>
      <rPr>
        <b/>
        <sz val="10"/>
        <rFont val="Arial"/>
        <family val="2"/>
      </rPr>
      <t xml:space="preserve">Table 1.  </t>
    </r>
    <r>
      <rPr>
        <sz val="10"/>
        <rFont val="Arial"/>
        <family val="2"/>
      </rPr>
      <t>Enter offsets purchased for the inventory reporting period.</t>
    </r>
    <r>
      <rPr>
        <b/>
        <sz val="10"/>
        <rFont val="Arial"/>
        <family val="2"/>
      </rPr>
      <t xml:space="preserve"> </t>
    </r>
    <r>
      <rPr>
        <sz val="10"/>
        <rFont val="Arial"/>
        <family val="2"/>
      </rPr>
      <t xml:space="preserve"> Example entry is 
         shown in first row (</t>
    </r>
    <r>
      <rPr>
        <i/>
        <sz val="10"/>
        <color indexed="21"/>
        <rFont val="Arial"/>
        <family val="2"/>
      </rPr>
      <t>GREEN Italics</t>
    </r>
    <r>
      <rPr>
        <sz val="10"/>
        <rFont val="Arial"/>
        <family val="2"/>
      </rPr>
      <t>).</t>
    </r>
  </si>
  <si>
    <t>котлы, нагреватели, топки, печи, печи, факелы, термоокислители, сушилки</t>
  </si>
  <si>
    <t>Kotyol</t>
  </si>
  <si>
    <t>CH4</t>
  </si>
  <si>
    <t xml:space="preserve">Central Power Unit </t>
  </si>
  <si>
    <t>Y</t>
  </si>
  <si>
    <t>N</t>
  </si>
  <si>
    <t>car1</t>
  </si>
  <si>
    <t>Equonix</t>
  </si>
  <si>
    <t>car2</t>
  </si>
  <si>
    <t>Malibu</t>
  </si>
  <si>
    <t>car3</t>
  </si>
  <si>
    <t>Lacetti</t>
  </si>
  <si>
    <t>car4</t>
  </si>
  <si>
    <t>car5</t>
  </si>
  <si>
    <t>car6</t>
  </si>
  <si>
    <t>car7</t>
  </si>
  <si>
    <t>rf-01</t>
  </si>
  <si>
    <t>rf-02</t>
  </si>
  <si>
    <t>rf-03</t>
  </si>
  <si>
    <t>rf-04</t>
  </si>
  <si>
    <t>rf-05</t>
  </si>
  <si>
    <t>rf-06</t>
  </si>
  <si>
    <t>rf-07</t>
  </si>
  <si>
    <t>rf-08</t>
  </si>
  <si>
    <t>rf-09</t>
  </si>
  <si>
    <t>rf-10</t>
  </si>
  <si>
    <t>rf-11</t>
  </si>
  <si>
    <t>rf-12</t>
  </si>
  <si>
    <t>rf-13</t>
  </si>
  <si>
    <t>rf-14</t>
  </si>
  <si>
    <t>rf-15</t>
  </si>
  <si>
    <t>rf-16</t>
  </si>
  <si>
    <t>rf-17</t>
  </si>
  <si>
    <t>rf-18</t>
  </si>
  <si>
    <t>rf-19</t>
  </si>
  <si>
    <t>rf-20</t>
  </si>
  <si>
    <t>rf-21</t>
  </si>
  <si>
    <t>rf-22</t>
  </si>
  <si>
    <t>rf-23</t>
  </si>
  <si>
    <t>rf-24</t>
  </si>
  <si>
    <t>rf-25</t>
  </si>
  <si>
    <t>rf-26</t>
  </si>
  <si>
    <t>rf-27</t>
  </si>
  <si>
    <t>rf-28</t>
  </si>
  <si>
    <t>rf-29</t>
  </si>
  <si>
    <t>rf-30</t>
  </si>
  <si>
    <t>rf-31</t>
  </si>
  <si>
    <t>rf-32</t>
  </si>
  <si>
    <t>rf-33</t>
  </si>
  <si>
    <t>rf-34</t>
  </si>
  <si>
    <t>rf-35</t>
  </si>
  <si>
    <t>rf-36</t>
  </si>
  <si>
    <t>rf-37</t>
  </si>
  <si>
    <t>rf-38</t>
  </si>
  <si>
    <t>rf-39</t>
  </si>
  <si>
    <t>rf-40</t>
  </si>
  <si>
    <t>rf-41</t>
  </si>
  <si>
    <t>rf-42</t>
  </si>
  <si>
    <t>rf-43</t>
  </si>
  <si>
    <t>rf-44</t>
  </si>
  <si>
    <t>rf-45</t>
  </si>
  <si>
    <t>rf-46</t>
  </si>
  <si>
    <t>rf-47</t>
  </si>
  <si>
    <t>rf-48</t>
  </si>
  <si>
    <t>rf-49</t>
  </si>
  <si>
    <t>rf-50</t>
  </si>
  <si>
    <t>rf-51</t>
  </si>
  <si>
    <t>rf-52</t>
  </si>
  <si>
    <t>rf-53</t>
  </si>
  <si>
    <t>rf-54</t>
  </si>
  <si>
    <t>rf-55</t>
  </si>
  <si>
    <t>rf-56</t>
  </si>
  <si>
    <t>rf-57</t>
  </si>
  <si>
    <t>rf-58</t>
  </si>
  <si>
    <t>rf-59</t>
  </si>
  <si>
    <t>rf-60</t>
  </si>
  <si>
    <t>rf-61</t>
  </si>
  <si>
    <t>rf-62</t>
  </si>
  <si>
    <t>rf-63</t>
  </si>
  <si>
    <t>rf-64</t>
  </si>
  <si>
    <t>rf-65</t>
  </si>
  <si>
    <t>rf-66</t>
  </si>
  <si>
    <t>rf-67</t>
  </si>
  <si>
    <t>rf-68</t>
  </si>
  <si>
    <t>ac-01</t>
  </si>
  <si>
    <t>rf-69</t>
  </si>
  <si>
    <t>rf-70</t>
  </si>
  <si>
    <t>rf-71</t>
  </si>
  <si>
    <t>rf-72</t>
  </si>
  <si>
    <t>rf-73</t>
  </si>
  <si>
    <t>rf-74</t>
  </si>
  <si>
    <t>rf-75</t>
  </si>
  <si>
    <t>rf-76</t>
  </si>
  <si>
    <t>rf-77</t>
  </si>
  <si>
    <t>rf-78</t>
  </si>
  <si>
    <t>rf-79</t>
  </si>
  <si>
    <t>rf-80</t>
  </si>
  <si>
    <t>rf-81</t>
  </si>
  <si>
    <t>rf-82</t>
  </si>
  <si>
    <t>rf-83</t>
  </si>
  <si>
    <t>rf-84</t>
  </si>
  <si>
    <t>rf-85</t>
  </si>
  <si>
    <t>rf-86</t>
  </si>
  <si>
    <t>rf-87</t>
  </si>
  <si>
    <t>rf-88</t>
  </si>
  <si>
    <t>rf-89</t>
  </si>
  <si>
    <t>ac-02</t>
  </si>
  <si>
    <t>ac-03</t>
  </si>
  <si>
    <t>ac-04</t>
  </si>
  <si>
    <t>ac-05</t>
  </si>
  <si>
    <t>ac-06</t>
  </si>
  <si>
    <t>ac-07</t>
  </si>
  <si>
    <t>ac-08</t>
  </si>
  <si>
    <t>ac-09</t>
  </si>
  <si>
    <t>ac-10</t>
  </si>
  <si>
    <t>ac-11</t>
  </si>
  <si>
    <t>ac-12</t>
  </si>
  <si>
    <t>ac-13</t>
  </si>
  <si>
    <t>ac-14</t>
  </si>
  <si>
    <t>ac-15</t>
  </si>
  <si>
    <t>ac-16</t>
  </si>
  <si>
    <t>ac-17</t>
  </si>
  <si>
    <t>ac-18</t>
  </si>
  <si>
    <t>ac-19</t>
  </si>
  <si>
    <t>ac-20</t>
  </si>
  <si>
    <t>ac-21</t>
  </si>
  <si>
    <t>ac-22</t>
  </si>
  <si>
    <t>ac-23</t>
  </si>
  <si>
    <t>ac-24</t>
  </si>
  <si>
    <t>ac-25</t>
  </si>
  <si>
    <t>ac-26</t>
  </si>
  <si>
    <t>ac-27</t>
  </si>
  <si>
    <t>ac-28</t>
  </si>
  <si>
    <t>ac-29</t>
  </si>
  <si>
    <t>ac-30</t>
  </si>
  <si>
    <t>ac-31</t>
  </si>
  <si>
    <t>ac-32</t>
  </si>
  <si>
    <t>ac-33</t>
  </si>
  <si>
    <t>ac-34</t>
  </si>
  <si>
    <t>ac-35</t>
  </si>
  <si>
    <t>ac-36</t>
  </si>
  <si>
    <t>ac-37</t>
  </si>
  <si>
    <t>ac-38</t>
  </si>
  <si>
    <t>ac-39</t>
  </si>
  <si>
    <t>ac-40</t>
  </si>
  <si>
    <t>ac-41</t>
  </si>
  <si>
    <t>ac-42</t>
  </si>
  <si>
    <t>ac-43</t>
  </si>
  <si>
    <t>ac-44</t>
  </si>
  <si>
    <t>ac-45</t>
  </si>
  <si>
    <t>ac-46</t>
  </si>
  <si>
    <t>ac-47</t>
  </si>
  <si>
    <t>ac-48</t>
  </si>
  <si>
    <t>ac-49</t>
  </si>
  <si>
    <t>ac-50</t>
  </si>
  <si>
    <t>ac-51</t>
  </si>
  <si>
    <t>ac-52</t>
  </si>
  <si>
    <t>ac-53</t>
  </si>
  <si>
    <t>ac-54</t>
  </si>
  <si>
    <t>ac-55</t>
  </si>
  <si>
    <t>ac-56</t>
  </si>
  <si>
    <t>ac-57</t>
  </si>
  <si>
    <t>ac-58</t>
  </si>
  <si>
    <t>ac-59</t>
  </si>
  <si>
    <t>ac-60</t>
  </si>
  <si>
    <t>ac-61</t>
  </si>
  <si>
    <t>ac-62</t>
  </si>
  <si>
    <t>ac-63</t>
  </si>
  <si>
    <t>ac-64</t>
  </si>
  <si>
    <t>ac-65</t>
  </si>
  <si>
    <t>ac-66</t>
  </si>
  <si>
    <t>ac-67</t>
  </si>
  <si>
    <t>ac-68</t>
  </si>
  <si>
    <t>ac-69</t>
  </si>
  <si>
    <t>ac-70</t>
  </si>
  <si>
    <t>ac-71</t>
  </si>
  <si>
    <t>ac-72</t>
  </si>
  <si>
    <t>ac-73</t>
  </si>
  <si>
    <t>ac-74</t>
  </si>
  <si>
    <t>ac-75</t>
  </si>
  <si>
    <t>ac-76</t>
  </si>
  <si>
    <t>ac-77</t>
  </si>
  <si>
    <t>ac-78</t>
  </si>
  <si>
    <t>ac-79</t>
  </si>
  <si>
    <t>ac-80</t>
  </si>
  <si>
    <t>ac-81</t>
  </si>
  <si>
    <t>ac-82</t>
  </si>
  <si>
    <t>ac-83</t>
  </si>
  <si>
    <t>ac-84</t>
  </si>
  <si>
    <t>ac-85</t>
  </si>
  <si>
    <t>ac-86</t>
  </si>
  <si>
    <t>ac-87</t>
  </si>
  <si>
    <t>ac-88</t>
  </si>
  <si>
    <t>ac-89</t>
  </si>
  <si>
    <t>ac-90</t>
  </si>
  <si>
    <t>ac-91</t>
  </si>
  <si>
    <t>ac-92</t>
  </si>
  <si>
    <t>ac-93</t>
  </si>
  <si>
    <t>ac-94</t>
  </si>
  <si>
    <t>ac-95</t>
  </si>
  <si>
    <t>ac-96</t>
  </si>
  <si>
    <t>ac-97</t>
  </si>
  <si>
    <t>ac-98</t>
  </si>
  <si>
    <t>ac-99</t>
  </si>
  <si>
    <t>ac-100</t>
  </si>
  <si>
    <t>ac-101</t>
  </si>
  <si>
    <t>ac-102</t>
  </si>
  <si>
    <t>ac-103</t>
  </si>
  <si>
    <t>ac-104</t>
  </si>
  <si>
    <t>ac-105</t>
  </si>
  <si>
    <t>ac-106</t>
  </si>
  <si>
    <t>ac-107</t>
  </si>
  <si>
    <t>ac-108</t>
  </si>
  <si>
    <t>ac-109</t>
  </si>
  <si>
    <t>ac-110</t>
  </si>
  <si>
    <t>ac-111</t>
  </si>
  <si>
    <t>ac-112</t>
  </si>
  <si>
    <t>ac-113</t>
  </si>
  <si>
    <t>ac-114</t>
  </si>
  <si>
    <t>ac-115</t>
  </si>
  <si>
    <t>ac-116</t>
  </si>
  <si>
    <t>ac-117</t>
  </si>
  <si>
    <t>ac-118</t>
  </si>
  <si>
    <t>ac-119</t>
  </si>
  <si>
    <t>ac-120</t>
  </si>
  <si>
    <t>ac-121</t>
  </si>
  <si>
    <t>ac-122</t>
  </si>
  <si>
    <t>ac-123</t>
  </si>
  <si>
    <t>ac-124</t>
  </si>
  <si>
    <t>ac-125</t>
  </si>
  <si>
    <t>ac-126</t>
  </si>
  <si>
    <t>ac-127</t>
  </si>
  <si>
    <t>ac-128</t>
  </si>
  <si>
    <t>ac-129</t>
  </si>
  <si>
    <t>ac-130</t>
  </si>
  <si>
    <t>ac-131</t>
  </si>
  <si>
    <t>ac-132</t>
  </si>
  <si>
    <t>ac-133</t>
  </si>
  <si>
    <t>ac-134</t>
  </si>
  <si>
    <t>ac-135</t>
  </si>
  <si>
    <t>ac-136</t>
  </si>
  <si>
    <t>ac-137</t>
  </si>
  <si>
    <t>ac-138</t>
  </si>
  <si>
    <t>ac-139</t>
  </si>
  <si>
    <t>ac-140</t>
  </si>
  <si>
    <t>ac-141</t>
  </si>
  <si>
    <t>ac-142</t>
  </si>
  <si>
    <t>ac-143</t>
  </si>
  <si>
    <t>ac-144</t>
  </si>
  <si>
    <t>ac-145</t>
  </si>
  <si>
    <t>ac-146</t>
  </si>
  <si>
    <t>ac-147</t>
  </si>
  <si>
    <t>Махкамов Бахтиёр Шухратович</t>
  </si>
  <si>
    <t>Ли Дмитрий Эдуардович</t>
  </si>
  <si>
    <t>Сирелчук Игор Николаевич</t>
  </si>
  <si>
    <t>Султанов Джамшид Бахтиёрович</t>
  </si>
  <si>
    <t>Махмудов Жаҳонгир Хаким ўғли</t>
  </si>
  <si>
    <t>Маматова Нодира Мирзавалиевна</t>
  </si>
  <si>
    <t>Абдуллаева Симела Христофоровна</t>
  </si>
  <si>
    <t>Алламуратова Замира Жумамуратовна</t>
  </si>
  <si>
    <t>Шахобиддинов Алишер Шопатхиддинович</t>
  </si>
  <si>
    <t>Носиров Хабибулло Хикматулло ўғли</t>
  </si>
  <si>
    <t>Мирзахалилов Санжар Серкабой ўғли</t>
  </si>
  <si>
    <t>Бегматова Зиёда Зохиджон ўғли</t>
  </si>
  <si>
    <t>Писетский Юрий Валеревич</t>
  </si>
  <si>
    <t>Ғуломов Шерзод Ражабович</t>
  </si>
  <si>
    <t>Давронбеков Дилмурод Абдужалилиович</t>
  </si>
  <si>
    <t>Рахматов Раббим Рахматович</t>
  </si>
  <si>
    <t xml:space="preserve">Шоймарданов Собиржон Комилжонович </t>
  </si>
  <si>
    <t>Газиева Вилоят Абдуҳалилиовна</t>
  </si>
  <si>
    <t xml:space="preserve">Хамидов Шерзод Жалолдин ўғли </t>
  </si>
  <si>
    <t>Маматов Бобир Турсунович</t>
  </si>
  <si>
    <t>Нарзуллаев Иномжон Садулла ўғли</t>
  </si>
  <si>
    <t xml:space="preserve">Саттаров Хуршид </t>
  </si>
  <si>
    <t xml:space="preserve">Юсупов Аҳмед </t>
  </si>
  <si>
    <t>Иргашева Дурдона</t>
  </si>
  <si>
    <t>Худойқулов Зариф</t>
  </si>
  <si>
    <t>Султанов Джамшид Баходирович</t>
  </si>
  <si>
    <t>Маҳмудов Жахонгир Хаким ўғли</t>
  </si>
  <si>
    <t>Ташев Комил Аҳмадович</t>
  </si>
  <si>
    <t>Ғуломова Нигора Фарход қизи</t>
  </si>
  <si>
    <t>Зайниддинов Хакимжон Насриддинович</t>
  </si>
  <si>
    <t>Юсупов Иброхим</t>
  </si>
  <si>
    <t>Махмуджанов Сарвар Улуғбекович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</si>
</sst>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_(* \(#,##0\);_(* &quot;-&quot;_);_(@_)"/>
    <numFmt numFmtId="44" formatCode="_(&quot;$&quot;* #,##0.00_);_(&quot;$&quot;* \(#,##0.00\);_(&quot;$&quot;* &quot;-&quot;??_);_(@_)"/>
    <numFmt numFmtId="43" formatCode="_(* #,##0.00_);_(* \(#,##0.00\);_(* &quot;-&quot;??_);_(@_)"/>
    <numFmt numFmtId="164" formatCode="0.000"/>
    <numFmt numFmtId="165" formatCode="0.0"/>
    <numFmt numFmtId="166" formatCode="0.0000"/>
    <numFmt numFmtId="167" formatCode="#,##0.0"/>
    <numFmt numFmtId="168" formatCode="_([$€-2]* #,##0.00_);_([$€-2]* \(#,##0.00\);_([$€-2]* &quot;-&quot;??_)"/>
    <numFmt numFmtId="169" formatCode="0.00000"/>
    <numFmt numFmtId="170" formatCode="_(* #,##0.0_);_(* \(#,##0.0\);_(* &quot;-&quot;??_);_(@_)"/>
    <numFmt numFmtId="171" formatCode="_(* #,##0_);_(* \(#,##0\);_(* &quot;-&quot;??_);_(@_)"/>
    <numFmt numFmtId="172" formatCode="_(* #,##0.00000_);_(* \(#,##0.00000\);_(* &quot;-&quot;??_);_(@_)"/>
    <numFmt numFmtId="173" formatCode="#,##0.0_);\(#,##0.0\)"/>
    <numFmt numFmtId="174" formatCode="0.0%"/>
    <numFmt numFmtId="175" formatCode="&quot;$&quot;#,##0\ ;\(&quot;$&quot;#,##0\)"/>
    <numFmt numFmtId="176" formatCode="_(* #,##0_);_(* \(#,##0\);_(@_)"/>
    <numFmt numFmtId="177" formatCode="_(* #,##0.0000_);_(* \(#,##0.0000\);_(* &quot;-&quot;??_);_(@_)"/>
    <numFmt numFmtId="178" formatCode="_(* #,##0.000_);_(* \(#,##0.000\);_(* &quot;-&quot;??_);_(@_)"/>
    <numFmt numFmtId="179" formatCode="_(* #,##0.0000_);_(* \(#,##0.0000\);_(@_)"/>
    <numFmt numFmtId="180" formatCode="General_)"/>
    <numFmt numFmtId="181" formatCode="#,##0.0000"/>
    <numFmt numFmtId="182" formatCode="0.000000000"/>
    <numFmt numFmtId="183" formatCode="_(* #,##0.000_);_(* \(#,##0.000\);_(* &quot;-&quot;???_);_(@_)"/>
  </numFmts>
  <fonts count="64">
    <font>
      <sz val="10"/>
      <name val="Arial"/>
    </font>
    <font>
      <sz val="10"/>
      <name val="Arial"/>
      <family val="2"/>
    </font>
    <font>
      <u/>
      <sz val="10"/>
      <color indexed="12"/>
      <name val="Arial"/>
      <family val="2"/>
    </font>
    <font>
      <b/>
      <sz val="10"/>
      <name val="Arial"/>
      <family val="2"/>
    </font>
    <font>
      <vertAlign val="subscript"/>
      <sz val="10"/>
      <name val="Arial"/>
      <family val="2"/>
    </font>
    <font>
      <sz val="10"/>
      <name val="Arial"/>
      <family val="2"/>
    </font>
    <font>
      <sz val="1"/>
      <name val="Arial"/>
      <family val="2"/>
    </font>
    <font>
      <sz val="8"/>
      <name val="Helv"/>
    </font>
    <font>
      <b/>
      <sz val="14"/>
      <name val="Helv"/>
    </font>
    <font>
      <b/>
      <sz val="12"/>
      <name val="Helv"/>
    </font>
    <font>
      <i/>
      <sz val="10"/>
      <name val="Arial"/>
      <family val="2"/>
    </font>
    <font>
      <sz val="8"/>
      <name val="Arial"/>
      <family val="2"/>
    </font>
    <font>
      <b/>
      <i/>
      <sz val="10"/>
      <name val="Arial"/>
      <family val="2"/>
    </font>
    <font>
      <b/>
      <i/>
      <sz val="12"/>
      <name val="Arial"/>
      <family val="2"/>
    </font>
    <font>
      <b/>
      <vertAlign val="subscript"/>
      <sz val="10"/>
      <name val="Arial"/>
      <family val="2"/>
    </font>
    <font>
      <vertAlign val="subscript"/>
      <sz val="8"/>
      <name val="Arial"/>
      <family val="2"/>
    </font>
    <font>
      <i/>
      <sz val="8"/>
      <name val="Arial"/>
      <family val="2"/>
    </font>
    <font>
      <u/>
      <sz val="10"/>
      <name val="Arial"/>
      <family val="2"/>
    </font>
    <font>
      <sz val="10"/>
      <name val="Arial"/>
      <family val="2"/>
    </font>
    <font>
      <sz val="9"/>
      <name val="Arial"/>
      <family val="2"/>
    </font>
    <font>
      <sz val="11"/>
      <name val="Arial"/>
      <family val="2"/>
    </font>
    <font>
      <sz val="10"/>
      <color indexed="24"/>
      <name val="Arial"/>
      <family val="2"/>
    </font>
    <font>
      <b/>
      <sz val="9"/>
      <name val="Arial"/>
      <family val="2"/>
    </font>
    <font>
      <b/>
      <sz val="10"/>
      <color indexed="10"/>
      <name val="Arial"/>
      <family val="2"/>
    </font>
    <font>
      <sz val="10"/>
      <name val="Arial"/>
      <family val="2"/>
    </font>
    <font>
      <sz val="8"/>
      <color indexed="81"/>
      <name val="Tahoma"/>
      <family val="2"/>
    </font>
    <font>
      <i/>
      <sz val="10"/>
      <color indexed="30"/>
      <name val="Arial"/>
      <family val="2"/>
    </font>
    <font>
      <sz val="10"/>
      <name val="Verdana"/>
      <family val="2"/>
    </font>
    <font>
      <sz val="10"/>
      <name val="Verdana"/>
      <family val="2"/>
    </font>
    <font>
      <sz val="10"/>
      <name val="Geneva"/>
    </font>
    <font>
      <i/>
      <sz val="10"/>
      <color indexed="21"/>
      <name val="Arial"/>
      <family val="2"/>
    </font>
    <font>
      <sz val="10"/>
      <color indexed="21"/>
      <name val="Arial"/>
      <family val="2"/>
    </font>
    <font>
      <b/>
      <sz val="9"/>
      <name val="Geneva"/>
    </font>
    <font>
      <u/>
      <sz val="11"/>
      <color indexed="12"/>
      <name val="Arial"/>
      <family val="2"/>
    </font>
    <font>
      <vertAlign val="subscript"/>
      <sz val="11"/>
      <name val="Arial"/>
      <family val="2"/>
    </font>
    <font>
      <b/>
      <sz val="11"/>
      <name val="Arial"/>
      <family val="2"/>
    </font>
    <font>
      <i/>
      <sz val="11"/>
      <name val="Arial"/>
      <family val="2"/>
    </font>
    <font>
      <b/>
      <i/>
      <sz val="11"/>
      <name val="Arial"/>
      <family val="2"/>
    </font>
    <font>
      <b/>
      <i/>
      <sz val="18"/>
      <name val="Arial"/>
      <family val="2"/>
    </font>
    <font>
      <sz val="18"/>
      <name val="Arial"/>
      <family val="2"/>
    </font>
    <font>
      <sz val="12"/>
      <name val="Arial"/>
      <family val="2"/>
    </font>
    <font>
      <sz val="14"/>
      <name val="Arial"/>
      <family val="2"/>
    </font>
    <font>
      <b/>
      <sz val="12"/>
      <color indexed="21"/>
      <name val="Arial"/>
      <family val="2"/>
    </font>
    <font>
      <b/>
      <sz val="12"/>
      <name val="Arial"/>
      <family val="2"/>
    </font>
    <font>
      <b/>
      <i/>
      <sz val="14"/>
      <name val="Arial"/>
      <family val="2"/>
    </font>
    <font>
      <b/>
      <i/>
      <sz val="16"/>
      <name val="Arial"/>
      <family val="2"/>
    </font>
    <font>
      <sz val="16"/>
      <name val="Arial"/>
      <family val="2"/>
    </font>
    <font>
      <i/>
      <sz val="10"/>
      <color indexed="57"/>
      <name val="Arial"/>
      <family val="2"/>
    </font>
    <font>
      <sz val="9"/>
      <color indexed="81"/>
      <name val="Tahoma"/>
      <family val="2"/>
    </font>
    <font>
      <sz val="9"/>
      <name val="Inherit"/>
    </font>
    <font>
      <sz val="11"/>
      <color theme="1"/>
      <name val="Calibri"/>
      <family val="2"/>
      <scheme val="minor"/>
    </font>
    <font>
      <sz val="9"/>
      <color theme="1"/>
      <name val="Calibri"/>
      <family val="2"/>
      <scheme val="minor"/>
    </font>
    <font>
      <b/>
      <sz val="9"/>
      <color theme="1"/>
      <name val="Calibri"/>
      <family val="2"/>
      <scheme val="minor"/>
    </font>
    <font>
      <i/>
      <sz val="10"/>
      <color rgb="FF0070C0"/>
      <name val="Arial"/>
      <family val="2"/>
    </font>
    <font>
      <b/>
      <sz val="10"/>
      <color theme="0"/>
      <name val="Arial"/>
      <family val="2"/>
    </font>
    <font>
      <i/>
      <sz val="10"/>
      <color rgb="FF138376"/>
      <name val="Arial"/>
      <family val="2"/>
    </font>
    <font>
      <i/>
      <sz val="11"/>
      <color rgb="FF138376"/>
      <name val="Arial"/>
      <family val="2"/>
    </font>
    <font>
      <b/>
      <sz val="12"/>
      <color rgb="FF008080"/>
      <name val="Arial"/>
      <family val="2"/>
    </font>
    <font>
      <sz val="11"/>
      <color rgb="FF138376"/>
      <name val="Arial"/>
      <family val="2"/>
    </font>
    <font>
      <sz val="10"/>
      <color rgb="FF000000"/>
      <name val="Arial"/>
      <family val="2"/>
    </font>
    <font>
      <vertAlign val="subscript"/>
      <sz val="9"/>
      <name val="Arial"/>
      <family val="2"/>
    </font>
    <font>
      <sz val="10"/>
      <color rgb="FFFF0000"/>
      <name val="Arial"/>
      <family val="2"/>
    </font>
    <font>
      <b/>
      <sz val="10"/>
      <name val="Geneva"/>
    </font>
    <font>
      <b/>
      <i/>
      <sz val="12"/>
      <color rgb="FF008080"/>
      <name val="Arial"/>
      <family val="2"/>
    </font>
  </fonts>
  <fills count="2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7"/>
        <bgColor indexed="64"/>
      </patternFill>
    </fill>
    <fill>
      <patternFill patternType="solid">
        <fgColor indexed="50"/>
        <bgColor indexed="64"/>
      </patternFill>
    </fill>
    <fill>
      <patternFill patternType="solid">
        <fgColor theme="0"/>
        <bgColor indexed="64"/>
      </patternFill>
    </fill>
    <fill>
      <patternFill patternType="solid">
        <fgColor rgb="FF99CCFF"/>
        <bgColor indexed="64"/>
      </patternFill>
    </fill>
    <fill>
      <patternFill patternType="solid">
        <fgColor rgb="FF99CC00"/>
        <bgColor indexed="64"/>
      </patternFill>
    </fill>
    <fill>
      <patternFill patternType="solid">
        <fgColor rgb="FF62C3EF"/>
        <bgColor indexed="64"/>
      </patternFill>
    </fill>
    <fill>
      <patternFill patternType="solid">
        <fgColor rgb="FF0F6CB6"/>
        <bgColor indexed="64"/>
      </patternFill>
    </fill>
    <fill>
      <patternFill patternType="solid">
        <fgColor rgb="FFC0C0C0"/>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DFD95"/>
        <bgColor indexed="64"/>
      </patternFill>
    </fill>
    <fill>
      <patternFill patternType="solid">
        <fgColor theme="7" tint="0.59999389629810485"/>
        <bgColor indexed="64"/>
      </patternFill>
    </fill>
    <fill>
      <patternFill patternType="solid">
        <fgColor rgb="FFFFFFFF"/>
        <bgColor indexed="64"/>
      </patternFill>
    </fill>
    <fill>
      <patternFill patternType="solid">
        <fgColor theme="6" tint="0.59999389629810485"/>
        <bgColor indexed="64"/>
      </patternFill>
    </fill>
    <fill>
      <patternFill patternType="solid">
        <fgColor rgb="FFBFBFBF"/>
        <bgColor indexed="64"/>
      </patternFill>
    </fill>
    <fill>
      <patternFill patternType="solid">
        <fgColor theme="0" tint="-0.14999847407452621"/>
        <bgColor indexed="64"/>
      </patternFill>
    </fill>
    <fill>
      <patternFill patternType="solid">
        <fgColor theme="0" tint="-4.9989318521683403E-2"/>
        <bgColor indexed="64"/>
      </patternFill>
    </fill>
  </fills>
  <borders count="104">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top style="medium">
        <color indexed="64"/>
      </top>
      <bottom style="dotted">
        <color indexed="64"/>
      </bottom>
      <diagonal/>
    </border>
    <border>
      <left style="thin">
        <color indexed="64"/>
      </left>
      <right style="thin">
        <color indexed="64"/>
      </right>
      <top style="medium">
        <color indexed="64"/>
      </top>
      <bottom style="dash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style="thin">
        <color indexed="64"/>
      </left>
      <right style="medium">
        <color indexed="64"/>
      </right>
      <top/>
      <bottom style="dotted">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dotted">
        <color indexed="64"/>
      </top>
      <bottom style="thin">
        <color indexed="64"/>
      </bottom>
      <diagonal/>
    </border>
    <border>
      <left/>
      <right/>
      <top/>
      <bottom style="dashed">
        <color theme="0" tint="-0.24994659260841701"/>
      </bottom>
      <diagonal/>
    </border>
    <border>
      <left/>
      <right/>
      <top/>
      <bottom style="thin">
        <color theme="0" tint="-0.249977111117893"/>
      </bottom>
      <diagonal/>
    </border>
    <border>
      <left/>
      <right/>
      <top style="thin">
        <color auto="1"/>
      </top>
      <bottom style="medium">
        <color auto="1"/>
      </bottom>
      <diagonal/>
    </border>
    <border>
      <left/>
      <right style="medium">
        <color indexed="64"/>
      </right>
      <top style="thin">
        <color indexed="64"/>
      </top>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otted">
        <color indexed="64"/>
      </bottom>
      <diagonal/>
    </border>
    <border>
      <left style="medium">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s>
  <cellStyleXfs count="26">
    <xf numFmtId="0" fontId="0" fillId="0" borderId="0"/>
    <xf numFmtId="0" fontId="51" fillId="0" borderId="91" applyNumberFormat="0" applyFont="0" applyProtection="0">
      <alignment wrapText="1"/>
    </xf>
    <xf numFmtId="43" fontId="1" fillId="0" borderId="0" applyFont="0" applyFill="0" applyBorder="0" applyAlignment="0" applyProtection="0"/>
    <xf numFmtId="43" fontId="28" fillId="0" borderId="0" applyFont="0" applyFill="0" applyBorder="0" applyAlignment="0" applyProtection="0"/>
    <xf numFmtId="3" fontId="21" fillId="0" borderId="0" applyFont="0" applyFill="0" applyBorder="0" applyAlignment="0" applyProtection="0"/>
    <xf numFmtId="44" fontId="50" fillId="0" borderId="0" applyFont="0" applyFill="0" applyBorder="0" applyAlignment="0" applyProtection="0"/>
    <xf numFmtId="175" fontId="21" fillId="0" borderId="0" applyFont="0" applyFill="0" applyBorder="0" applyAlignment="0" applyProtection="0"/>
    <xf numFmtId="168" fontId="1" fillId="0" borderId="0" applyFont="0" applyFill="0" applyBorder="0" applyAlignment="0" applyProtection="0"/>
    <xf numFmtId="0" fontId="2" fillId="0" borderId="0" applyNumberFormat="0" applyFill="0" applyBorder="0" applyAlignment="0" applyProtection="0">
      <alignment vertical="top"/>
      <protection locked="0"/>
    </xf>
    <xf numFmtId="41"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5" fillId="0" borderId="0"/>
    <xf numFmtId="0" fontId="5" fillId="0" borderId="0"/>
    <xf numFmtId="0" fontId="50" fillId="0" borderId="0"/>
    <xf numFmtId="0" fontId="27" fillId="0" borderId="0"/>
    <xf numFmtId="0" fontId="52" fillId="0" borderId="92" applyNumberFormat="0" applyProtection="0">
      <alignment wrapText="1"/>
    </xf>
    <xf numFmtId="9" fontId="1" fillId="0" borderId="0" applyFont="0" applyFill="0" applyBorder="0" applyAlignment="0" applyProtection="0"/>
    <xf numFmtId="9" fontId="5" fillId="0" borderId="0" applyFont="0" applyFill="0" applyBorder="0" applyAlignment="0" applyProtection="0"/>
    <xf numFmtId="9" fontId="28" fillId="0" borderId="0" applyFont="0" applyFill="0" applyBorder="0" applyAlignment="0" applyProtection="0"/>
    <xf numFmtId="0" fontId="7" fillId="0" borderId="0">
      <alignment horizontal="right"/>
    </xf>
    <xf numFmtId="0" fontId="7" fillId="0" borderId="0">
      <alignment horizontal="left"/>
    </xf>
    <xf numFmtId="0" fontId="8" fillId="0" borderId="0">
      <alignment horizontal="left" vertical="top"/>
    </xf>
    <xf numFmtId="0" fontId="9" fillId="0" borderId="0">
      <alignment horizontal="left"/>
    </xf>
    <xf numFmtId="0" fontId="27" fillId="0" borderId="0"/>
  </cellStyleXfs>
  <cellXfs count="1414">
    <xf numFmtId="0" fontId="0" fillId="0" borderId="0" xfId="0"/>
    <xf numFmtId="0" fontId="0" fillId="0" borderId="1" xfId="0" applyBorder="1"/>
    <xf numFmtId="3" fontId="0" fillId="0" borderId="2" xfId="0" applyNumberFormat="1" applyBorder="1"/>
    <xf numFmtId="0" fontId="5" fillId="0" borderId="0" xfId="0" applyFont="1"/>
    <xf numFmtId="0" fontId="0" fillId="2" borderId="0" xfId="0" applyFill="1"/>
    <xf numFmtId="0" fontId="13" fillId="2" borderId="0" xfId="0" applyFont="1" applyFill="1"/>
    <xf numFmtId="0" fontId="12" fillId="2" borderId="0" xfId="0" applyFont="1" applyFill="1"/>
    <xf numFmtId="0" fontId="3" fillId="2" borderId="0" xfId="0" applyFont="1" applyFill="1"/>
    <xf numFmtId="0" fontId="5" fillId="2" borderId="0" xfId="0" applyFont="1" applyFill="1"/>
    <xf numFmtId="0" fontId="10" fillId="2" borderId="0" xfId="0" quotePrefix="1" applyFont="1" applyFill="1"/>
    <xf numFmtId="0" fontId="10" fillId="2" borderId="0" xfId="0" applyFont="1" applyFill="1"/>
    <xf numFmtId="0" fontId="5" fillId="2" borderId="4" xfId="0" applyFont="1" applyFill="1" applyBorder="1"/>
    <xf numFmtId="0" fontId="3" fillId="3" borderId="7" xfId="0" applyFont="1" applyFill="1" applyBorder="1" applyAlignment="1">
      <alignment horizontal="center"/>
    </xf>
    <xf numFmtId="0" fontId="3" fillId="3" borderId="8" xfId="0" applyFont="1" applyFill="1" applyBorder="1" applyAlignment="1">
      <alignment horizontal="center"/>
    </xf>
    <xf numFmtId="0" fontId="3" fillId="3" borderId="9" xfId="0" applyFont="1" applyFill="1" applyBorder="1" applyAlignment="1">
      <alignment horizontal="center"/>
    </xf>
    <xf numFmtId="0" fontId="3" fillId="3" borderId="10" xfId="0" applyFont="1" applyFill="1" applyBorder="1" applyAlignment="1">
      <alignment horizontal="center"/>
    </xf>
    <xf numFmtId="0" fontId="3" fillId="3" borderId="11" xfId="0" applyFont="1" applyFill="1" applyBorder="1" applyAlignment="1">
      <alignment horizontal="center"/>
    </xf>
    <xf numFmtId="0" fontId="3" fillId="3" borderId="12" xfId="0" applyFont="1" applyFill="1" applyBorder="1" applyAlignment="1">
      <alignment horizontal="center"/>
    </xf>
    <xf numFmtId="0" fontId="0" fillId="0" borderId="0" xfId="0" applyAlignment="1">
      <alignment vertical="center"/>
    </xf>
    <xf numFmtId="0" fontId="3" fillId="3" borderId="13" xfId="0" applyFont="1" applyFill="1" applyBorder="1" applyAlignment="1">
      <alignment horizontal="center"/>
    </xf>
    <xf numFmtId="0" fontId="3" fillId="3" borderId="14" xfId="0" applyFont="1" applyFill="1" applyBorder="1" applyAlignment="1">
      <alignment horizontal="center"/>
    </xf>
    <xf numFmtId="0" fontId="3" fillId="4" borderId="15" xfId="0" applyFont="1" applyFill="1" applyBorder="1"/>
    <xf numFmtId="4" fontId="3" fillId="4" borderId="16" xfId="0" applyNumberFormat="1" applyFont="1" applyFill="1" applyBorder="1"/>
    <xf numFmtId="4" fontId="3" fillId="4" borderId="17" xfId="0" applyNumberFormat="1" applyFont="1" applyFill="1" applyBorder="1"/>
    <xf numFmtId="0" fontId="3" fillId="4" borderId="18" xfId="0" applyFont="1" applyFill="1" applyBorder="1"/>
    <xf numFmtId="4" fontId="3" fillId="4" borderId="19" xfId="0" applyNumberFormat="1" applyFont="1" applyFill="1" applyBorder="1"/>
    <xf numFmtId="0" fontId="0" fillId="4" borderId="16" xfId="0" applyFill="1" applyBorder="1"/>
    <xf numFmtId="0" fontId="0" fillId="4" borderId="19" xfId="0" applyFill="1" applyBorder="1"/>
    <xf numFmtId="0" fontId="0" fillId="5" borderId="2" xfId="0" applyFill="1" applyBorder="1" applyProtection="1">
      <protection locked="0"/>
    </xf>
    <xf numFmtId="0" fontId="5" fillId="5" borderId="2" xfId="0" applyFont="1" applyFill="1" applyBorder="1" applyProtection="1">
      <protection locked="0"/>
    </xf>
    <xf numFmtId="0" fontId="3" fillId="3" borderId="20" xfId="0" applyFont="1" applyFill="1" applyBorder="1" applyAlignment="1">
      <alignment horizontal="center"/>
    </xf>
    <xf numFmtId="0" fontId="0" fillId="4" borderId="17" xfId="0" applyFill="1" applyBorder="1"/>
    <xf numFmtId="0" fontId="3" fillId="6" borderId="15" xfId="0" applyFont="1" applyFill="1" applyBorder="1"/>
    <xf numFmtId="4" fontId="3" fillId="6" borderId="16" xfId="0" applyNumberFormat="1" applyFont="1" applyFill="1" applyBorder="1"/>
    <xf numFmtId="0" fontId="3" fillId="6" borderId="18" xfId="0" applyFont="1" applyFill="1" applyBorder="1"/>
    <xf numFmtId="4" fontId="3" fillId="6" borderId="19" xfId="0" applyNumberFormat="1" applyFont="1" applyFill="1" applyBorder="1"/>
    <xf numFmtId="0" fontId="0" fillId="0" borderId="27" xfId="0" applyBorder="1"/>
    <xf numFmtId="0" fontId="0" fillId="3" borderId="28" xfId="0" applyFill="1" applyBorder="1"/>
    <xf numFmtId="0" fontId="0" fillId="3" borderId="29" xfId="0" applyFill="1" applyBorder="1"/>
    <xf numFmtId="3" fontId="0" fillId="3" borderId="30" xfId="0" applyNumberFormat="1" applyFill="1" applyBorder="1"/>
    <xf numFmtId="0" fontId="3" fillId="6" borderId="16" xfId="0" applyFont="1" applyFill="1" applyBorder="1"/>
    <xf numFmtId="0" fontId="3" fillId="6" borderId="19" xfId="0" applyFont="1" applyFill="1" applyBorder="1"/>
    <xf numFmtId="0" fontId="3" fillId="4" borderId="16" xfId="0" applyFont="1" applyFill="1" applyBorder="1"/>
    <xf numFmtId="0" fontId="3" fillId="4" borderId="19" xfId="0" applyFont="1" applyFill="1" applyBorder="1"/>
    <xf numFmtId="0" fontId="3" fillId="3" borderId="31" xfId="0" applyFont="1" applyFill="1" applyBorder="1" applyAlignment="1">
      <alignment horizontal="center"/>
    </xf>
    <xf numFmtId="0" fontId="3" fillId="3" borderId="17" xfId="0" applyFont="1" applyFill="1" applyBorder="1" applyAlignment="1">
      <alignment horizontal="center"/>
    </xf>
    <xf numFmtId="0" fontId="0" fillId="2" borderId="33" xfId="0" applyFill="1" applyBorder="1" applyAlignment="1">
      <alignment vertical="center"/>
    </xf>
    <xf numFmtId="0" fontId="0" fillId="2" borderId="5" xfId="0" applyFill="1" applyBorder="1" applyAlignment="1">
      <alignment vertical="center"/>
    </xf>
    <xf numFmtId="3" fontId="0" fillId="2" borderId="2" xfId="0" applyNumberFormat="1" applyFill="1" applyBorder="1" applyAlignment="1">
      <alignment vertical="center"/>
    </xf>
    <xf numFmtId="0" fontId="0" fillId="2" borderId="4" xfId="0" applyFill="1" applyBorder="1" applyAlignment="1">
      <alignment vertical="center"/>
    </xf>
    <xf numFmtId="0" fontId="0" fillId="2" borderId="15" xfId="0" applyFill="1" applyBorder="1"/>
    <xf numFmtId="0" fontId="0" fillId="2" borderId="35" xfId="0" applyFill="1" applyBorder="1" applyAlignment="1">
      <alignment horizontal="left"/>
    </xf>
    <xf numFmtId="3" fontId="0" fillId="2" borderId="35" xfId="0" applyNumberFormat="1" applyFill="1" applyBorder="1"/>
    <xf numFmtId="0" fontId="0" fillId="2" borderId="37" xfId="0" applyFill="1" applyBorder="1"/>
    <xf numFmtId="0" fontId="0" fillId="2" borderId="2" xfId="0" applyFill="1" applyBorder="1" applyAlignment="1">
      <alignment horizontal="left"/>
    </xf>
    <xf numFmtId="3" fontId="0" fillId="2" borderId="2" xfId="0" applyNumberFormat="1" applyFill="1" applyBorder="1"/>
    <xf numFmtId="3" fontId="0" fillId="2" borderId="26" xfId="0" applyNumberFormat="1" applyFill="1" applyBorder="1"/>
    <xf numFmtId="0" fontId="0" fillId="2" borderId="39" xfId="0" applyFill="1" applyBorder="1" applyAlignment="1">
      <alignment vertical="center"/>
    </xf>
    <xf numFmtId="0" fontId="0" fillId="2" borderId="40" xfId="0" applyFill="1" applyBorder="1" applyAlignment="1">
      <alignment vertical="center"/>
    </xf>
    <xf numFmtId="0" fontId="0" fillId="2" borderId="6" xfId="0" applyFill="1" applyBorder="1" applyAlignment="1">
      <alignment vertical="center"/>
    </xf>
    <xf numFmtId="0" fontId="0" fillId="2" borderId="43" xfId="0" applyFill="1" applyBorder="1" applyAlignment="1">
      <alignment vertical="center"/>
    </xf>
    <xf numFmtId="0" fontId="3" fillId="0" borderId="0" xfId="0" applyFont="1" applyAlignment="1">
      <alignment horizontal="left"/>
    </xf>
    <xf numFmtId="0" fontId="0" fillId="2" borderId="0" xfId="0" applyFill="1" applyAlignment="1">
      <alignment horizontal="left"/>
    </xf>
    <xf numFmtId="3" fontId="0" fillId="2" borderId="0" xfId="0" applyNumberFormat="1" applyFill="1"/>
    <xf numFmtId="4" fontId="0" fillId="2" borderId="0" xfId="0" applyNumberFormat="1" applyFill="1" applyAlignment="1">
      <alignment horizontal="right"/>
    </xf>
    <xf numFmtId="0" fontId="5" fillId="5" borderId="1" xfId="0" applyFont="1" applyFill="1" applyBorder="1" applyProtection="1">
      <protection locked="0"/>
    </xf>
    <xf numFmtId="0" fontId="5" fillId="5" borderId="46" xfId="0" applyFont="1" applyFill="1" applyBorder="1" applyProtection="1">
      <protection locked="0"/>
    </xf>
    <xf numFmtId="0" fontId="5" fillId="5" borderId="26" xfId="0" applyFont="1" applyFill="1" applyBorder="1" applyProtection="1">
      <protection locked="0"/>
    </xf>
    <xf numFmtId="0" fontId="5" fillId="2" borderId="0" xfId="0" quotePrefix="1" applyFont="1" applyFill="1"/>
    <xf numFmtId="0" fontId="11" fillId="2" borderId="0" xfId="0" applyFont="1" applyFill="1"/>
    <xf numFmtId="0" fontId="16" fillId="2" borderId="0" xfId="0" quotePrefix="1" applyFont="1" applyFill="1"/>
    <xf numFmtId="0" fontId="0" fillId="2" borderId="0" xfId="0" applyFill="1" applyAlignment="1">
      <alignment vertical="center"/>
    </xf>
    <xf numFmtId="4" fontId="0" fillId="2" borderId="0" xfId="0" applyNumberFormat="1" applyFill="1"/>
    <xf numFmtId="3" fontId="5" fillId="5" borderId="2" xfId="0" applyNumberFormat="1" applyFont="1" applyFill="1" applyBorder="1" applyProtection="1">
      <protection locked="0"/>
    </xf>
    <xf numFmtId="3" fontId="5" fillId="5" borderId="26" xfId="0" applyNumberFormat="1" applyFont="1" applyFill="1" applyBorder="1" applyProtection="1">
      <protection locked="0"/>
    </xf>
    <xf numFmtId="3" fontId="0" fillId="5" borderId="2" xfId="0" applyNumberFormat="1" applyFill="1" applyBorder="1" applyProtection="1">
      <protection locked="0"/>
    </xf>
    <xf numFmtId="0" fontId="3" fillId="3" borderId="47" xfId="0" applyFont="1" applyFill="1" applyBorder="1" applyAlignment="1">
      <alignment horizontal="center"/>
    </xf>
    <xf numFmtId="0" fontId="16" fillId="2" borderId="0" xfId="0" applyFont="1" applyFill="1"/>
    <xf numFmtId="3" fontId="0" fillId="0" borderId="35" xfId="0" applyNumberFormat="1" applyBorder="1"/>
    <xf numFmtId="3" fontId="0" fillId="0" borderId="26" xfId="0" applyNumberFormat="1" applyBorder="1"/>
    <xf numFmtId="0" fontId="3" fillId="3" borderId="35" xfId="0" applyFont="1" applyFill="1" applyBorder="1" applyAlignment="1">
      <alignment horizontal="center"/>
    </xf>
    <xf numFmtId="0" fontId="3" fillId="3" borderId="23" xfId="0" applyFont="1" applyFill="1" applyBorder="1" applyAlignment="1">
      <alignment horizontal="center"/>
    </xf>
    <xf numFmtId="0" fontId="5" fillId="5" borderId="6" xfId="0" applyFont="1" applyFill="1" applyBorder="1" applyProtection="1">
      <protection locked="0"/>
    </xf>
    <xf numFmtId="0" fontId="5" fillId="5" borderId="25" xfId="0" applyFont="1" applyFill="1" applyBorder="1" applyProtection="1">
      <protection locked="0"/>
    </xf>
    <xf numFmtId="0" fontId="0" fillId="2" borderId="0" xfId="0" quotePrefix="1" applyFill="1"/>
    <xf numFmtId="0" fontId="0" fillId="0" borderId="6" xfId="0" applyBorder="1"/>
    <xf numFmtId="167" fontId="0" fillId="5" borderId="35" xfId="0" applyNumberFormat="1" applyFill="1" applyBorder="1" applyProtection="1">
      <protection locked="0"/>
    </xf>
    <xf numFmtId="167" fontId="0" fillId="5" borderId="2" xfId="0" applyNumberFormat="1" applyFill="1" applyBorder="1" applyProtection="1">
      <protection locked="0"/>
    </xf>
    <xf numFmtId="167" fontId="0" fillId="5" borderId="26" xfId="0" applyNumberFormat="1" applyFill="1" applyBorder="1" applyProtection="1">
      <protection locked="0"/>
    </xf>
    <xf numFmtId="167" fontId="0" fillId="0" borderId="2" xfId="0" applyNumberFormat="1" applyBorder="1"/>
    <xf numFmtId="0" fontId="5" fillId="2" borderId="5" xfId="0" applyFont="1" applyFill="1" applyBorder="1"/>
    <xf numFmtId="0" fontId="5" fillId="3" borderId="4" xfId="0" applyFont="1" applyFill="1" applyBorder="1"/>
    <xf numFmtId="0" fontId="0" fillId="3" borderId="6" xfId="0" applyFill="1" applyBorder="1"/>
    <xf numFmtId="0" fontId="0" fillId="5" borderId="1" xfId="0" applyFill="1" applyBorder="1" applyProtection="1">
      <protection locked="0"/>
    </xf>
    <xf numFmtId="0" fontId="0" fillId="5" borderId="46" xfId="0" applyFill="1" applyBorder="1" applyProtection="1">
      <protection locked="0"/>
    </xf>
    <xf numFmtId="0" fontId="0" fillId="5" borderId="26" xfId="0" applyFill="1" applyBorder="1" applyProtection="1">
      <protection locked="0"/>
    </xf>
    <xf numFmtId="0" fontId="3" fillId="3" borderId="48" xfId="0" applyFont="1" applyFill="1" applyBorder="1" applyAlignment="1">
      <alignment horizontal="center"/>
    </xf>
    <xf numFmtId="0" fontId="3" fillId="3" borderId="49" xfId="0" applyFont="1" applyFill="1" applyBorder="1" applyAlignment="1">
      <alignment horizontal="center"/>
    </xf>
    <xf numFmtId="3" fontId="0" fillId="5" borderId="23" xfId="0" applyNumberFormat="1" applyFill="1" applyBorder="1" applyProtection="1">
      <protection locked="0"/>
    </xf>
    <xf numFmtId="167" fontId="0" fillId="2" borderId="44" xfId="0" applyNumberFormat="1" applyFill="1" applyBorder="1"/>
    <xf numFmtId="167" fontId="0" fillId="3" borderId="51" xfId="0" applyNumberFormat="1" applyFill="1" applyBorder="1"/>
    <xf numFmtId="167" fontId="0" fillId="0" borderId="42" xfId="0" applyNumberFormat="1" applyBorder="1"/>
    <xf numFmtId="167" fontId="0" fillId="0" borderId="44" xfId="0" applyNumberFormat="1" applyBorder="1"/>
    <xf numFmtId="167" fontId="0" fillId="0" borderId="50" xfId="0" applyNumberFormat="1" applyBorder="1"/>
    <xf numFmtId="167" fontId="0" fillId="0" borderId="23" xfId="0" applyNumberFormat="1" applyBorder="1"/>
    <xf numFmtId="167" fontId="0" fillId="3" borderId="30" xfId="0" applyNumberFormat="1" applyFill="1" applyBorder="1"/>
    <xf numFmtId="167" fontId="0" fillId="0" borderId="52" xfId="0" applyNumberFormat="1" applyBorder="1"/>
    <xf numFmtId="167" fontId="0" fillId="2" borderId="42" xfId="0" applyNumberFormat="1" applyFill="1" applyBorder="1" applyAlignment="1">
      <alignment horizontal="right"/>
    </xf>
    <xf numFmtId="167" fontId="0" fillId="2" borderId="35" xfId="0" applyNumberFormat="1" applyFill="1" applyBorder="1" applyAlignment="1">
      <alignment horizontal="right"/>
    </xf>
    <xf numFmtId="0" fontId="0" fillId="2" borderId="46" xfId="0" applyFill="1" applyBorder="1" applyAlignment="1">
      <alignment vertical="center"/>
    </xf>
    <xf numFmtId="0" fontId="0" fillId="2" borderId="26" xfId="0" applyFill="1" applyBorder="1" applyAlignment="1">
      <alignment vertical="center"/>
    </xf>
    <xf numFmtId="167" fontId="0" fillId="2" borderId="50" xfId="0" applyNumberFormat="1" applyFill="1" applyBorder="1"/>
    <xf numFmtId="0" fontId="3" fillId="3" borderId="45" xfId="0" applyFont="1" applyFill="1" applyBorder="1" applyAlignment="1">
      <alignment horizontal="center"/>
    </xf>
    <xf numFmtId="0" fontId="3" fillId="3" borderId="53" xfId="0" applyFont="1" applyFill="1" applyBorder="1" applyAlignment="1">
      <alignment horizontal="center"/>
    </xf>
    <xf numFmtId="0" fontId="3" fillId="3" borderId="54" xfId="0" applyFont="1" applyFill="1" applyBorder="1" applyAlignment="1">
      <alignment horizontal="center"/>
    </xf>
    <xf numFmtId="0" fontId="5" fillId="2" borderId="55" xfId="0" applyFont="1" applyFill="1" applyBorder="1"/>
    <xf numFmtId="3" fontId="5" fillId="2" borderId="40" xfId="0" applyNumberFormat="1" applyFont="1" applyFill="1" applyBorder="1"/>
    <xf numFmtId="167" fontId="5" fillId="2" borderId="40" xfId="0" applyNumberFormat="1" applyFont="1" applyFill="1" applyBorder="1"/>
    <xf numFmtId="0" fontId="5" fillId="3" borderId="28" xfId="0" applyFont="1" applyFill="1" applyBorder="1"/>
    <xf numFmtId="3" fontId="5" fillId="3" borderId="56" xfId="0" applyNumberFormat="1" applyFont="1" applyFill="1" applyBorder="1"/>
    <xf numFmtId="0" fontId="5" fillId="2" borderId="36" xfId="0" applyFont="1" applyFill="1" applyBorder="1"/>
    <xf numFmtId="3" fontId="5" fillId="2" borderId="41" xfId="0" applyNumberFormat="1" applyFont="1" applyFill="1" applyBorder="1"/>
    <xf numFmtId="167" fontId="5" fillId="2" borderId="41" xfId="0" applyNumberFormat="1" applyFont="1" applyFill="1" applyBorder="1"/>
    <xf numFmtId="0" fontId="0" fillId="6" borderId="17" xfId="0" applyFill="1" applyBorder="1"/>
    <xf numFmtId="166" fontId="0" fillId="0" borderId="0" xfId="0" applyNumberFormat="1"/>
    <xf numFmtId="0" fontId="3" fillId="3" borderId="57" xfId="0" applyFont="1" applyFill="1" applyBorder="1" applyAlignment="1">
      <alignment horizontal="center"/>
    </xf>
    <xf numFmtId="3" fontId="0" fillId="5" borderId="26" xfId="0" applyNumberFormat="1" applyFill="1" applyBorder="1" applyProtection="1">
      <protection locked="0"/>
    </xf>
    <xf numFmtId="0" fontId="0" fillId="5" borderId="22" xfId="0" applyFill="1" applyBorder="1" applyProtection="1">
      <protection locked="0"/>
    </xf>
    <xf numFmtId="3" fontId="0" fillId="0" borderId="23" xfId="0" applyNumberFormat="1" applyBorder="1"/>
    <xf numFmtId="0" fontId="0" fillId="3" borderId="56" xfId="0" applyFill="1" applyBorder="1"/>
    <xf numFmtId="0" fontId="0" fillId="5" borderId="4" xfId="0" applyFill="1" applyBorder="1" applyProtection="1">
      <protection locked="0"/>
    </xf>
    <xf numFmtId="0" fontId="0" fillId="5" borderId="58" xfId="0" applyFill="1" applyBorder="1" applyProtection="1">
      <protection locked="0"/>
    </xf>
    <xf numFmtId="167" fontId="0" fillId="2" borderId="0" xfId="0" applyNumberFormat="1" applyFill="1"/>
    <xf numFmtId="3" fontId="0" fillId="3" borderId="29" xfId="0" applyNumberFormat="1" applyFill="1" applyBorder="1"/>
    <xf numFmtId="0" fontId="5" fillId="2" borderId="2" xfId="0" applyFont="1" applyFill="1" applyBorder="1" applyAlignment="1">
      <alignment horizontal="right"/>
    </xf>
    <xf numFmtId="0" fontId="5" fillId="2" borderId="0" xfId="0" applyFont="1" applyFill="1" applyAlignment="1">
      <alignment horizontal="right"/>
    </xf>
    <xf numFmtId="0" fontId="0" fillId="2" borderId="38" xfId="0" applyFill="1" applyBorder="1" applyAlignment="1">
      <alignment vertical="center"/>
    </xf>
    <xf numFmtId="0" fontId="0" fillId="2" borderId="25" xfId="0" applyFill="1" applyBorder="1" applyAlignment="1">
      <alignment vertical="center"/>
    </xf>
    <xf numFmtId="0" fontId="3" fillId="0" borderId="0" xfId="0" applyFont="1" applyAlignment="1">
      <alignment horizontal="center"/>
    </xf>
    <xf numFmtId="3" fontId="0" fillId="0" borderId="2" xfId="0" applyNumberFormat="1" applyBorder="1" applyAlignment="1">
      <alignment vertical="center"/>
    </xf>
    <xf numFmtId="0" fontId="0" fillId="2" borderId="59" xfId="0" applyFill="1" applyBorder="1" applyAlignment="1">
      <alignment vertical="center"/>
    </xf>
    <xf numFmtId="0" fontId="0" fillId="2" borderId="55" xfId="0" applyFill="1" applyBorder="1" applyAlignment="1">
      <alignment vertical="center"/>
    </xf>
    <xf numFmtId="167" fontId="0" fillId="2" borderId="43" xfId="0" applyNumberFormat="1" applyFill="1" applyBorder="1"/>
    <xf numFmtId="3" fontId="0" fillId="2" borderId="21" xfId="0" applyNumberFormat="1" applyFill="1" applyBorder="1"/>
    <xf numFmtId="167" fontId="0" fillId="2" borderId="43" xfId="0" applyNumberFormat="1" applyFill="1" applyBorder="1" applyAlignment="1">
      <alignment horizontal="right"/>
    </xf>
    <xf numFmtId="0" fontId="5" fillId="0" borderId="44" xfId="0" applyFont="1" applyBorder="1"/>
    <xf numFmtId="0" fontId="5" fillId="0" borderId="50" xfId="0" applyFont="1" applyBorder="1"/>
    <xf numFmtId="167" fontId="0" fillId="2" borderId="21" xfId="0" applyNumberFormat="1" applyFill="1" applyBorder="1" applyAlignment="1">
      <alignment horizontal="right"/>
    </xf>
    <xf numFmtId="167" fontId="0" fillId="0" borderId="60" xfId="0" applyNumberFormat="1" applyBorder="1"/>
    <xf numFmtId="0" fontId="0" fillId="5" borderId="25" xfId="0" applyFill="1" applyBorder="1" applyProtection="1">
      <protection locked="0"/>
    </xf>
    <xf numFmtId="0" fontId="5" fillId="0" borderId="0" xfId="0" applyFont="1" applyAlignment="1">
      <alignment horizontal="left"/>
    </xf>
    <xf numFmtId="0" fontId="5" fillId="2" borderId="21" xfId="0" applyFont="1" applyFill="1" applyBorder="1"/>
    <xf numFmtId="0" fontId="5" fillId="2" borderId="2" xfId="0" applyFont="1" applyFill="1" applyBorder="1"/>
    <xf numFmtId="3" fontId="0" fillId="5" borderId="58" xfId="0" applyNumberFormat="1" applyFill="1" applyBorder="1" applyProtection="1">
      <protection locked="0"/>
    </xf>
    <xf numFmtId="3" fontId="0" fillId="5" borderId="38" xfId="0" applyNumberFormat="1" applyFill="1" applyBorder="1" applyProtection="1">
      <protection locked="0"/>
    </xf>
    <xf numFmtId="167" fontId="0" fillId="2" borderId="2" xfId="0" applyNumberFormat="1" applyFill="1" applyBorder="1"/>
    <xf numFmtId="0" fontId="5" fillId="5" borderId="38" xfId="0" applyFont="1" applyFill="1" applyBorder="1" applyProtection="1">
      <protection locked="0"/>
    </xf>
    <xf numFmtId="167" fontId="0" fillId="2" borderId="26" xfId="0" applyNumberFormat="1" applyFill="1" applyBorder="1"/>
    <xf numFmtId="167" fontId="3" fillId="4" borderId="54" xfId="0" applyNumberFormat="1" applyFont="1" applyFill="1" applyBorder="1"/>
    <xf numFmtId="167" fontId="0" fillId="6" borderId="17" xfId="0" applyNumberFormat="1" applyFill="1" applyBorder="1"/>
    <xf numFmtId="167" fontId="3" fillId="6" borderId="54" xfId="0" applyNumberFormat="1" applyFont="1" applyFill="1" applyBorder="1"/>
    <xf numFmtId="0" fontId="3" fillId="7" borderId="0" xfId="0" applyFont="1" applyFill="1"/>
    <xf numFmtId="0" fontId="0" fillId="7" borderId="0" xfId="0" applyFill="1"/>
    <xf numFmtId="166" fontId="0" fillId="7" borderId="0" xfId="0" applyNumberFormat="1" applyFill="1"/>
    <xf numFmtId="167" fontId="0" fillId="0" borderId="21" xfId="0" applyNumberFormat="1" applyBorder="1"/>
    <xf numFmtId="3" fontId="5" fillId="2" borderId="2" xfId="0" applyNumberFormat="1" applyFont="1" applyFill="1" applyBorder="1" applyAlignment="1">
      <alignment horizontal="right"/>
    </xf>
    <xf numFmtId="3" fontId="5" fillId="2" borderId="21" xfId="0" applyNumberFormat="1" applyFont="1" applyFill="1" applyBorder="1" applyAlignment="1">
      <alignment horizontal="right"/>
    </xf>
    <xf numFmtId="0" fontId="5" fillId="2" borderId="21" xfId="0" applyFont="1" applyFill="1" applyBorder="1" applyAlignment="1">
      <alignment horizontal="right"/>
    </xf>
    <xf numFmtId="0" fontId="0" fillId="5" borderId="3" xfId="0" applyFill="1" applyBorder="1" applyProtection="1">
      <protection locked="0"/>
    </xf>
    <xf numFmtId="0" fontId="0" fillId="5" borderId="21" xfId="0" applyFill="1" applyBorder="1" applyProtection="1">
      <protection locked="0"/>
    </xf>
    <xf numFmtId="0" fontId="0" fillId="5" borderId="55" xfId="0" applyFill="1" applyBorder="1" applyProtection="1">
      <protection locked="0"/>
    </xf>
    <xf numFmtId="3" fontId="0" fillId="5" borderId="21" xfId="0" applyNumberFormat="1" applyFill="1" applyBorder="1" applyProtection="1">
      <protection locked="0"/>
    </xf>
    <xf numFmtId="167" fontId="0" fillId="0" borderId="43" xfId="0" applyNumberFormat="1" applyBorder="1"/>
    <xf numFmtId="3" fontId="0" fillId="5" borderId="40" xfId="0" applyNumberFormat="1" applyFill="1" applyBorder="1" applyProtection="1">
      <protection locked="0"/>
    </xf>
    <xf numFmtId="0" fontId="0" fillId="5" borderId="39" xfId="0" applyFill="1" applyBorder="1" applyProtection="1">
      <protection locked="0"/>
    </xf>
    <xf numFmtId="0" fontId="5" fillId="5" borderId="55" xfId="0" applyFont="1" applyFill="1" applyBorder="1" applyProtection="1">
      <protection locked="0"/>
    </xf>
    <xf numFmtId="167" fontId="0" fillId="5" borderId="21" xfId="0" applyNumberFormat="1" applyFill="1" applyBorder="1" applyProtection="1">
      <protection locked="0"/>
    </xf>
    <xf numFmtId="0" fontId="5" fillId="5" borderId="3" xfId="0" applyFont="1" applyFill="1" applyBorder="1" applyProtection="1">
      <protection locked="0"/>
    </xf>
    <xf numFmtId="0" fontId="5" fillId="5" borderId="21" xfId="0" applyFont="1" applyFill="1" applyBorder="1" applyProtection="1">
      <protection locked="0"/>
    </xf>
    <xf numFmtId="3" fontId="5" fillId="5" borderId="21" xfId="0" applyNumberFormat="1" applyFont="1" applyFill="1" applyBorder="1" applyProtection="1">
      <protection locked="0"/>
    </xf>
    <xf numFmtId="0" fontId="5" fillId="2" borderId="33" xfId="0" applyFont="1" applyFill="1" applyBorder="1" applyAlignment="1">
      <alignment vertical="center"/>
    </xf>
    <xf numFmtId="0" fontId="5" fillId="5" borderId="11" xfId="0" applyFont="1" applyFill="1" applyBorder="1" applyProtection="1">
      <protection locked="0"/>
    </xf>
    <xf numFmtId="0" fontId="13" fillId="7" borderId="0" xfId="0" applyFont="1" applyFill="1"/>
    <xf numFmtId="0" fontId="5" fillId="7" borderId="0" xfId="0" applyFont="1" applyFill="1"/>
    <xf numFmtId="0" fontId="3" fillId="7" borderId="61" xfId="0" applyFont="1" applyFill="1" applyBorder="1"/>
    <xf numFmtId="0" fontId="3" fillId="7" borderId="30" xfId="0" applyFont="1" applyFill="1" applyBorder="1"/>
    <xf numFmtId="167" fontId="5" fillId="2" borderId="62" xfId="0" applyNumberFormat="1" applyFont="1" applyFill="1" applyBorder="1"/>
    <xf numFmtId="167" fontId="5" fillId="2" borderId="63" xfId="0" applyNumberFormat="1" applyFont="1" applyFill="1" applyBorder="1"/>
    <xf numFmtId="0" fontId="5" fillId="0" borderId="2" xfId="0" applyFont="1" applyBorder="1"/>
    <xf numFmtId="0" fontId="3" fillId="3" borderId="30" xfId="0" applyFont="1" applyFill="1" applyBorder="1" applyAlignment="1">
      <alignment horizontal="center"/>
    </xf>
    <xf numFmtId="0" fontId="3" fillId="3" borderId="51" xfId="0" applyFont="1" applyFill="1" applyBorder="1" applyAlignment="1">
      <alignment horizontal="center"/>
    </xf>
    <xf numFmtId="3" fontId="1" fillId="2" borderId="2" xfId="0" applyNumberFormat="1" applyFont="1" applyFill="1" applyBorder="1"/>
    <xf numFmtId="3" fontId="5" fillId="0" borderId="2" xfId="0" applyNumberFormat="1" applyFont="1" applyBorder="1"/>
    <xf numFmtId="0" fontId="3" fillId="3" borderId="30" xfId="0" applyFont="1" applyFill="1" applyBorder="1" applyAlignment="1">
      <alignment horizontal="center" wrapText="1"/>
    </xf>
    <xf numFmtId="0" fontId="3" fillId="3" borderId="51" xfId="0" applyFont="1" applyFill="1" applyBorder="1" applyAlignment="1">
      <alignment horizontal="center" wrapText="1"/>
    </xf>
    <xf numFmtId="165" fontId="0" fillId="2" borderId="0" xfId="0" applyNumberFormat="1" applyFill="1"/>
    <xf numFmtId="0" fontId="0" fillId="3" borderId="19" xfId="0" applyFill="1" applyBorder="1"/>
    <xf numFmtId="0" fontId="16" fillId="2" borderId="0" xfId="0" quotePrefix="1" applyFont="1" applyFill="1" applyAlignment="1">
      <alignment horizontal="left" indent="1"/>
    </xf>
    <xf numFmtId="167" fontId="0" fillId="0" borderId="26" xfId="0" applyNumberFormat="1" applyBorder="1"/>
    <xf numFmtId="0" fontId="5" fillId="0" borderId="1" xfId="0" applyFont="1" applyBorder="1"/>
    <xf numFmtId="0" fontId="5" fillId="0" borderId="46" xfId="0" applyFont="1" applyBorder="1"/>
    <xf numFmtId="0" fontId="10" fillId="7" borderId="0" xfId="0" quotePrefix="1" applyFont="1" applyFill="1"/>
    <xf numFmtId="0" fontId="5" fillId="7" borderId="0" xfId="0" applyFont="1" applyFill="1" applyAlignment="1">
      <alignment horizontal="left"/>
    </xf>
    <xf numFmtId="166" fontId="0" fillId="0" borderId="2" xfId="0" applyNumberFormat="1" applyBorder="1"/>
    <xf numFmtId="0" fontId="5" fillId="0" borderId="21" xfId="0" applyFont="1" applyBorder="1"/>
    <xf numFmtId="0" fontId="0" fillId="2" borderId="27" xfId="0" applyFill="1" applyBorder="1" applyAlignment="1">
      <alignment vertical="center"/>
    </xf>
    <xf numFmtId="0" fontId="5" fillId="2" borderId="42" xfId="0" applyFont="1" applyFill="1" applyBorder="1"/>
    <xf numFmtId="0" fontId="0" fillId="2" borderId="1" xfId="0" applyFill="1" applyBorder="1" applyAlignment="1">
      <alignment vertical="center"/>
    </xf>
    <xf numFmtId="0" fontId="5" fillId="2" borderId="44" xfId="0" applyFont="1" applyFill="1" applyBorder="1"/>
    <xf numFmtId="0" fontId="3" fillId="3" borderId="7" xfId="0" applyFont="1" applyFill="1" applyBorder="1" applyAlignment="1">
      <alignment horizontal="center" wrapText="1"/>
    </xf>
    <xf numFmtId="0" fontId="3" fillId="3" borderId="9" xfId="0" applyFont="1" applyFill="1" applyBorder="1" applyAlignment="1">
      <alignment horizontal="center" wrapText="1"/>
    </xf>
    <xf numFmtId="0" fontId="0" fillId="5" borderId="65" xfId="0" applyFill="1" applyBorder="1" applyProtection="1">
      <protection locked="0"/>
    </xf>
    <xf numFmtId="0" fontId="5" fillId="3" borderId="18" xfId="0" applyFont="1" applyFill="1" applyBorder="1"/>
    <xf numFmtId="0" fontId="0" fillId="3" borderId="31" xfId="0" applyFill="1" applyBorder="1"/>
    <xf numFmtId="3" fontId="0" fillId="3" borderId="11" xfId="0" applyNumberFormat="1" applyFill="1" applyBorder="1"/>
    <xf numFmtId="167" fontId="0" fillId="3" borderId="11" xfId="0" applyNumberFormat="1" applyFill="1" applyBorder="1"/>
    <xf numFmtId="167" fontId="0" fillId="3" borderId="12" xfId="0" applyNumberFormat="1" applyFill="1" applyBorder="1"/>
    <xf numFmtId="0" fontId="5" fillId="7" borderId="0" xfId="0" quotePrefix="1" applyFont="1" applyFill="1"/>
    <xf numFmtId="0" fontId="5" fillId="7" borderId="0" xfId="0" applyFont="1" applyFill="1" applyAlignment="1">
      <alignment horizontal="left" vertical="top" wrapText="1" indent="1"/>
    </xf>
    <xf numFmtId="0" fontId="5" fillId="7" borderId="0" xfId="0" quotePrefix="1" applyFont="1" applyFill="1" applyAlignment="1">
      <alignment horizontal="left" indent="1"/>
    </xf>
    <xf numFmtId="0" fontId="0" fillId="8" borderId="19" xfId="0" applyFill="1" applyBorder="1"/>
    <xf numFmtId="0" fontId="0" fillId="8" borderId="0" xfId="0" applyFill="1"/>
    <xf numFmtId="0" fontId="10" fillId="8" borderId="0" xfId="0" applyFont="1" applyFill="1"/>
    <xf numFmtId="0" fontId="0" fillId="9" borderId="0" xfId="0" applyFill="1"/>
    <xf numFmtId="3" fontId="0" fillId="9" borderId="0" xfId="0" applyNumberFormat="1" applyFill="1"/>
    <xf numFmtId="167" fontId="0" fillId="9" borderId="0" xfId="0" applyNumberFormat="1" applyFill="1"/>
    <xf numFmtId="3" fontId="0" fillId="7" borderId="0" xfId="0" applyNumberFormat="1" applyFill="1"/>
    <xf numFmtId="167" fontId="0" fillId="7" borderId="0" xfId="0" applyNumberFormat="1" applyFill="1"/>
    <xf numFmtId="0" fontId="10" fillId="7" borderId="0" xfId="0" quotePrefix="1" applyFont="1" applyFill="1" applyAlignment="1">
      <alignment horizontal="left"/>
    </xf>
    <xf numFmtId="0" fontId="0" fillId="7" borderId="0" xfId="0" applyFill="1" applyProtection="1">
      <protection locked="0"/>
    </xf>
    <xf numFmtId="1" fontId="0" fillId="7" borderId="0" xfId="0" applyNumberFormat="1" applyFill="1" applyProtection="1">
      <protection locked="0"/>
    </xf>
    <xf numFmtId="3" fontId="0" fillId="7" borderId="0" xfId="0" applyNumberFormat="1" applyFill="1" applyProtection="1">
      <protection locked="0"/>
    </xf>
    <xf numFmtId="2" fontId="0" fillId="7" borderId="0" xfId="0" applyNumberFormat="1" applyFill="1" applyProtection="1">
      <protection locked="0"/>
    </xf>
    <xf numFmtId="0" fontId="17" fillId="7" borderId="0" xfId="0" quotePrefix="1" applyFont="1" applyFill="1" applyAlignment="1">
      <alignment horizontal="left" indent="1"/>
    </xf>
    <xf numFmtId="0" fontId="5" fillId="7" borderId="0" xfId="0" applyFont="1" applyFill="1" applyAlignment="1">
      <alignment horizontal="left" vertical="top" indent="5"/>
    </xf>
    <xf numFmtId="0" fontId="53" fillId="7" borderId="66" xfId="0" applyFont="1" applyFill="1" applyBorder="1"/>
    <xf numFmtId="0" fontId="53" fillId="7" borderId="67" xfId="0" applyFont="1" applyFill="1" applyBorder="1"/>
    <xf numFmtId="3" fontId="53" fillId="7" borderId="67" xfId="0" applyNumberFormat="1" applyFont="1" applyFill="1" applyBorder="1"/>
    <xf numFmtId="0" fontId="0" fillId="9" borderId="17" xfId="0" applyFill="1" applyBorder="1"/>
    <xf numFmtId="167" fontId="3" fillId="9" borderId="54" xfId="0" applyNumberFormat="1" applyFont="1" applyFill="1" applyBorder="1"/>
    <xf numFmtId="0" fontId="3" fillId="9" borderId="15" xfId="0" applyFont="1" applyFill="1" applyBorder="1"/>
    <xf numFmtId="0" fontId="3" fillId="9" borderId="18" xfId="0" applyFont="1" applyFill="1" applyBorder="1"/>
    <xf numFmtId="0" fontId="2" fillId="7" borderId="0" xfId="8" quotePrefix="1" applyFill="1" applyAlignment="1" applyProtection="1">
      <alignment horizontal="left" indent="5"/>
    </xf>
    <xf numFmtId="0" fontId="2" fillId="7" borderId="0" xfId="8" applyFill="1" applyAlignment="1" applyProtection="1"/>
    <xf numFmtId="0" fontId="5" fillId="2" borderId="2" xfId="0" applyFont="1" applyFill="1" applyBorder="1" applyAlignment="1">
      <alignment horizontal="left"/>
    </xf>
    <xf numFmtId="0" fontId="5" fillId="0" borderId="2" xfId="0" applyFont="1" applyBorder="1" applyAlignment="1">
      <alignment horizontal="left"/>
    </xf>
    <xf numFmtId="0" fontId="5" fillId="2" borderId="21" xfId="0" applyFont="1" applyFill="1" applyBorder="1" applyAlignment="1">
      <alignment horizontal="left"/>
    </xf>
    <xf numFmtId="0" fontId="5" fillId="0" borderId="21" xfId="0" applyFont="1" applyBorder="1" applyAlignment="1">
      <alignment horizontal="left"/>
    </xf>
    <xf numFmtId="167" fontId="0" fillId="7" borderId="0" xfId="0" applyNumberFormat="1" applyFill="1" applyProtection="1">
      <protection locked="0"/>
    </xf>
    <xf numFmtId="0" fontId="5" fillId="7" borderId="0" xfId="0" applyFont="1" applyFill="1" applyProtection="1">
      <protection locked="0"/>
    </xf>
    <xf numFmtId="3" fontId="5" fillId="7" borderId="0" xfId="0" applyNumberFormat="1" applyFont="1" applyFill="1" applyProtection="1">
      <protection locked="0"/>
    </xf>
    <xf numFmtId="0" fontId="3" fillId="8" borderId="0" xfId="0" applyFont="1" applyFill="1"/>
    <xf numFmtId="167" fontId="0" fillId="7" borderId="40" xfId="0" applyNumberFormat="1" applyFill="1" applyBorder="1" applyAlignment="1">
      <alignment vertical="center"/>
    </xf>
    <xf numFmtId="0" fontId="10" fillId="7" borderId="0" xfId="0" applyFont="1" applyFill="1"/>
    <xf numFmtId="0" fontId="3" fillId="9" borderId="0" xfId="0" applyFont="1" applyFill="1"/>
    <xf numFmtId="0" fontId="0" fillId="7" borderId="16" xfId="0" applyFill="1" applyBorder="1"/>
    <xf numFmtId="0" fontId="0" fillId="7" borderId="17" xfId="0" applyFill="1" applyBorder="1"/>
    <xf numFmtId="0" fontId="0" fillId="7" borderId="47" xfId="0" applyFill="1" applyBorder="1"/>
    <xf numFmtId="0" fontId="0" fillId="7" borderId="19" xfId="0" applyFill="1" applyBorder="1"/>
    <xf numFmtId="0" fontId="0" fillId="7" borderId="54" xfId="0" applyFill="1" applyBorder="1"/>
    <xf numFmtId="0" fontId="0" fillId="7" borderId="68" xfId="0" applyFill="1" applyBorder="1"/>
    <xf numFmtId="0" fontId="0" fillId="7" borderId="69" xfId="0" applyFill="1" applyBorder="1"/>
    <xf numFmtId="0" fontId="0" fillId="7" borderId="70" xfId="0" applyFill="1" applyBorder="1"/>
    <xf numFmtId="0" fontId="5" fillId="7" borderId="45" xfId="0" applyFont="1" applyFill="1" applyBorder="1"/>
    <xf numFmtId="0" fontId="0" fillId="7" borderId="48" xfId="0" applyFill="1" applyBorder="1"/>
    <xf numFmtId="0" fontId="0" fillId="7" borderId="59" xfId="0" applyFill="1" applyBorder="1"/>
    <xf numFmtId="0" fontId="0" fillId="7" borderId="40" xfId="0" applyFill="1" applyBorder="1"/>
    <xf numFmtId="0" fontId="3" fillId="10" borderId="0" xfId="0" applyFont="1" applyFill="1"/>
    <xf numFmtId="0" fontId="0" fillId="10" borderId="0" xfId="0" applyFill="1"/>
    <xf numFmtId="0" fontId="54" fillId="11" borderId="71" xfId="0" applyFont="1" applyFill="1" applyBorder="1" applyAlignment="1">
      <alignment horizontal="center"/>
    </xf>
    <xf numFmtId="0" fontId="3" fillId="7" borderId="8" xfId="0" applyFont="1" applyFill="1" applyBorder="1"/>
    <xf numFmtId="0" fontId="3" fillId="7" borderId="7" xfId="0" applyFont="1" applyFill="1" applyBorder="1"/>
    <xf numFmtId="0" fontId="3" fillId="10" borderId="28" xfId="0" applyFont="1" applyFill="1" applyBorder="1"/>
    <xf numFmtId="0" fontId="5" fillId="10" borderId="73" xfId="0" applyFont="1" applyFill="1" applyBorder="1" applyAlignment="1">
      <alignment horizontal="right"/>
    </xf>
    <xf numFmtId="0" fontId="3" fillId="12" borderId="9" xfId="0" applyFont="1" applyFill="1" applyBorder="1" applyAlignment="1">
      <alignment horizontal="center" wrapText="1"/>
    </xf>
    <xf numFmtId="0" fontId="5" fillId="0" borderId="0" xfId="13"/>
    <xf numFmtId="0" fontId="5" fillId="7" borderId="0" xfId="13" applyFill="1"/>
    <xf numFmtId="0" fontId="13" fillId="2" borderId="0" xfId="13" applyFont="1" applyFill="1"/>
    <xf numFmtId="0" fontId="3" fillId="2" borderId="0" xfId="13" applyFont="1" applyFill="1"/>
    <xf numFmtId="0" fontId="5" fillId="0" borderId="0" xfId="13" applyAlignment="1">
      <alignment vertical="center"/>
    </xf>
    <xf numFmtId="0" fontId="3" fillId="0" borderId="0" xfId="13" applyFont="1"/>
    <xf numFmtId="0" fontId="5" fillId="7" borderId="0" xfId="13" applyFill="1" applyAlignment="1">
      <alignment horizontal="left" wrapText="1"/>
    </xf>
    <xf numFmtId="0" fontId="3" fillId="2" borderId="0" xfId="13" applyFont="1" applyFill="1" applyAlignment="1">
      <alignment horizontal="left" wrapText="1"/>
    </xf>
    <xf numFmtId="0" fontId="3" fillId="2" borderId="0" xfId="13" applyFont="1" applyFill="1" applyAlignment="1">
      <alignment horizontal="left"/>
    </xf>
    <xf numFmtId="0" fontId="5" fillId="7" borderId="0" xfId="13" applyFill="1" applyAlignment="1">
      <alignment horizontal="right" vertical="top"/>
    </xf>
    <xf numFmtId="0" fontId="10" fillId="2" borderId="0" xfId="13" applyFont="1" applyFill="1" applyAlignment="1">
      <alignment horizontal="left" indent="1"/>
    </xf>
    <xf numFmtId="0" fontId="11" fillId="2" borderId="0" xfId="0" applyFont="1" applyFill="1" applyAlignment="1">
      <alignment horizontal="left" wrapText="1"/>
    </xf>
    <xf numFmtId="0" fontId="5" fillId="7" borderId="0" xfId="13" applyFill="1" applyAlignment="1">
      <alignment horizontal="left" vertical="top" wrapText="1"/>
    </xf>
    <xf numFmtId="0" fontId="0" fillId="12" borderId="28" xfId="0" applyFill="1" applyBorder="1"/>
    <xf numFmtId="0" fontId="0" fillId="12" borderId="71" xfId="0" applyFill="1" applyBorder="1"/>
    <xf numFmtId="0" fontId="0" fillId="0" borderId="10" xfId="0" applyBorder="1"/>
    <xf numFmtId="0" fontId="0" fillId="0" borderId="12" xfId="0" applyBorder="1"/>
    <xf numFmtId="0" fontId="13" fillId="7" borderId="0" xfId="13" applyFont="1" applyFill="1"/>
    <xf numFmtId="0" fontId="5" fillId="7" borderId="0" xfId="13" quotePrefix="1" applyFill="1" applyAlignment="1">
      <alignment horizontal="left" vertical="top" wrapText="1" indent="4"/>
    </xf>
    <xf numFmtId="0" fontId="5" fillId="7" borderId="0" xfId="13" applyFill="1" applyAlignment="1">
      <alignment vertical="top" wrapText="1"/>
    </xf>
    <xf numFmtId="0" fontId="5" fillId="7" borderId="0" xfId="13" quotePrefix="1" applyFill="1" applyAlignment="1">
      <alignment vertical="top"/>
    </xf>
    <xf numFmtId="0" fontId="3" fillId="7" borderId="0" xfId="13" applyFont="1" applyFill="1" applyAlignment="1">
      <alignment vertical="top" wrapText="1"/>
    </xf>
    <xf numFmtId="0" fontId="3" fillId="7" borderId="0" xfId="13" applyFont="1" applyFill="1" applyAlignment="1">
      <alignment vertical="top"/>
    </xf>
    <xf numFmtId="0" fontId="5" fillId="7" borderId="0" xfId="13" applyFill="1" applyAlignment="1">
      <alignment horizontal="left" vertical="top"/>
    </xf>
    <xf numFmtId="0" fontId="10" fillId="7" borderId="0" xfId="13" applyFont="1" applyFill="1"/>
    <xf numFmtId="0" fontId="3" fillId="12" borderId="8" xfId="13" applyFont="1" applyFill="1" applyBorder="1"/>
    <xf numFmtId="0" fontId="3" fillId="12" borderId="8" xfId="13" quotePrefix="1" applyFont="1" applyFill="1" applyBorder="1" applyAlignment="1">
      <alignment vertical="top"/>
    </xf>
    <xf numFmtId="0" fontId="3" fillId="12" borderId="9" xfId="13" applyFont="1" applyFill="1" applyBorder="1"/>
    <xf numFmtId="0" fontId="5" fillId="7" borderId="27" xfId="13" applyFill="1" applyBorder="1"/>
    <xf numFmtId="0" fontId="5" fillId="7" borderId="46" xfId="13" applyFill="1" applyBorder="1"/>
    <xf numFmtId="0" fontId="50" fillId="7" borderId="0" xfId="15" applyFill="1"/>
    <xf numFmtId="0" fontId="5" fillId="11" borderId="0" xfId="13" applyFill="1"/>
    <xf numFmtId="0" fontId="5" fillId="11" borderId="0" xfId="13" applyFill="1" applyAlignment="1">
      <alignment vertical="top" wrapText="1"/>
    </xf>
    <xf numFmtId="0" fontId="3" fillId="10" borderId="0" xfId="13" applyFont="1" applyFill="1" applyAlignment="1">
      <alignment horizontal="left"/>
    </xf>
    <xf numFmtId="0" fontId="5" fillId="10" borderId="0" xfId="13" applyFill="1" applyAlignment="1">
      <alignment horizontal="left" wrapText="1"/>
    </xf>
    <xf numFmtId="0" fontId="5" fillId="10" borderId="0" xfId="13" applyFill="1"/>
    <xf numFmtId="0" fontId="5" fillId="7" borderId="0" xfId="13" applyFill="1" applyAlignment="1">
      <alignment wrapText="1"/>
    </xf>
    <xf numFmtId="0" fontId="11" fillId="7" borderId="0" xfId="0" applyFont="1" applyFill="1"/>
    <xf numFmtId="0" fontId="54" fillId="11" borderId="0" xfId="13" applyFont="1" applyFill="1"/>
    <xf numFmtId="0" fontId="5" fillId="7" borderId="0" xfId="13" applyFill="1" applyAlignment="1">
      <alignment horizontal="left" wrapText="1" indent="1"/>
    </xf>
    <xf numFmtId="0" fontId="20" fillId="7" borderId="0" xfId="0" applyFont="1" applyFill="1" applyAlignment="1">
      <alignment horizontal="center"/>
    </xf>
    <xf numFmtId="0" fontId="3" fillId="7" borderId="0" xfId="13" applyFont="1" applyFill="1"/>
    <xf numFmtId="0" fontId="3" fillId="7" borderId="0" xfId="13" applyFont="1" applyFill="1" applyAlignment="1">
      <alignment horizontal="left" wrapText="1"/>
    </xf>
    <xf numFmtId="0" fontId="10" fillId="7" borderId="0" xfId="13" applyFont="1" applyFill="1" applyAlignment="1">
      <alignment horizontal="left" indent="1"/>
    </xf>
    <xf numFmtId="0" fontId="3" fillId="7" borderId="0" xfId="13" applyFont="1" applyFill="1" applyAlignment="1">
      <alignment horizontal="left"/>
    </xf>
    <xf numFmtId="0" fontId="2" fillId="7" borderId="0" xfId="8" applyFill="1" applyAlignment="1" applyProtection="1">
      <alignment horizontal="left" indent="1"/>
    </xf>
    <xf numFmtId="0" fontId="10" fillId="7" borderId="0" xfId="13" applyFont="1" applyFill="1" applyAlignment="1">
      <alignment horizontal="left" wrapText="1" indent="1"/>
    </xf>
    <xf numFmtId="0" fontId="5" fillId="7" borderId="0" xfId="13" applyFill="1" applyAlignment="1">
      <alignment horizontal="left" indent="2"/>
    </xf>
    <xf numFmtId="0" fontId="5" fillId="0" borderId="27" xfId="0" applyFont="1" applyBorder="1"/>
    <xf numFmtId="0" fontId="3" fillId="3" borderId="72" xfId="0" applyFont="1" applyFill="1" applyBorder="1" applyAlignment="1">
      <alignment horizontal="center" wrapText="1"/>
    </xf>
    <xf numFmtId="0" fontId="0" fillId="0" borderId="18" xfId="0" applyBorder="1"/>
    <xf numFmtId="166" fontId="0" fillId="0" borderId="4" xfId="0" applyNumberFormat="1" applyBorder="1"/>
    <xf numFmtId="0" fontId="5" fillId="7" borderId="0" xfId="0" applyFont="1" applyFill="1" applyAlignment="1">
      <alignment horizontal="left" wrapText="1"/>
    </xf>
    <xf numFmtId="0" fontId="5" fillId="7" borderId="0" xfId="0" applyFont="1" applyFill="1" applyAlignment="1">
      <alignment horizontal="left" vertical="top" wrapText="1"/>
    </xf>
    <xf numFmtId="0" fontId="5" fillId="7" borderId="58" xfId="0" quotePrefix="1" applyFont="1" applyFill="1" applyBorder="1" applyAlignment="1">
      <alignment horizontal="right" vertical="top"/>
    </xf>
    <xf numFmtId="0" fontId="0" fillId="7" borderId="45" xfId="0" applyFill="1" applyBorder="1"/>
    <xf numFmtId="0" fontId="5" fillId="7" borderId="45" xfId="0" quotePrefix="1" applyFont="1" applyFill="1" applyBorder="1" applyAlignment="1">
      <alignment horizontal="right" vertical="top"/>
    </xf>
    <xf numFmtId="0" fontId="5" fillId="7" borderId="55" xfId="0" quotePrefix="1" applyFont="1" applyFill="1" applyBorder="1" applyAlignment="1">
      <alignment horizontal="right" vertical="top"/>
    </xf>
    <xf numFmtId="0" fontId="5" fillId="7" borderId="0" xfId="0" quotePrefix="1" applyFont="1" applyFill="1" applyAlignment="1">
      <alignment horizontal="right" vertical="top"/>
    </xf>
    <xf numFmtId="0" fontId="0" fillId="7" borderId="55" xfId="0" applyFill="1" applyBorder="1"/>
    <xf numFmtId="0" fontId="0" fillId="7" borderId="0" xfId="0" applyFill="1" applyAlignment="1">
      <alignment vertical="center"/>
    </xf>
    <xf numFmtId="43" fontId="0" fillId="7" borderId="0" xfId="0" applyNumberFormat="1" applyFill="1"/>
    <xf numFmtId="0" fontId="16" fillId="7" borderId="0" xfId="0" quotePrefix="1" applyFont="1" applyFill="1"/>
    <xf numFmtId="0" fontId="0" fillId="7" borderId="0" xfId="0" applyFill="1" applyAlignment="1">
      <alignment horizontal="center"/>
    </xf>
    <xf numFmtId="0" fontId="0" fillId="7" borderId="2" xfId="0" applyFill="1" applyBorder="1"/>
    <xf numFmtId="0" fontId="0" fillId="7" borderId="26" xfId="0" applyFill="1" applyBorder="1"/>
    <xf numFmtId="0" fontId="0" fillId="7" borderId="2" xfId="0" applyFill="1" applyBorder="1" applyAlignment="1">
      <alignment horizontal="center"/>
    </xf>
    <xf numFmtId="0" fontId="3" fillId="7" borderId="0" xfId="0" applyFont="1" applyFill="1" applyAlignment="1">
      <alignment horizontal="left"/>
    </xf>
    <xf numFmtId="0" fontId="5" fillId="7" borderId="0" xfId="0" applyFont="1" applyFill="1" applyAlignment="1">
      <alignment vertical="center"/>
    </xf>
    <xf numFmtId="166" fontId="5" fillId="7" borderId="0" xfId="0" applyNumberFormat="1" applyFont="1" applyFill="1" applyAlignment="1">
      <alignment horizontal="center"/>
    </xf>
    <xf numFmtId="166" fontId="0" fillId="7" borderId="0" xfId="0" applyNumberFormat="1" applyFill="1" applyAlignment="1">
      <alignment horizontal="right"/>
    </xf>
    <xf numFmtId="166" fontId="1" fillId="7" borderId="0" xfId="0" applyNumberFormat="1" applyFont="1" applyFill="1" applyAlignment="1">
      <alignment horizontal="right"/>
    </xf>
    <xf numFmtId="170" fontId="0" fillId="7" borderId="0" xfId="0" applyNumberFormat="1" applyFill="1"/>
    <xf numFmtId="0" fontId="22" fillId="7" borderId="0" xfId="0" applyFont="1" applyFill="1" applyAlignment="1">
      <alignment horizontal="center" wrapText="1"/>
    </xf>
    <xf numFmtId="0" fontId="19" fillId="7" borderId="0" xfId="0" applyFont="1" applyFill="1"/>
    <xf numFmtId="2" fontId="19" fillId="7" borderId="0" xfId="0" applyNumberFormat="1" applyFont="1" applyFill="1"/>
    <xf numFmtId="166" fontId="19" fillId="7" borderId="0" xfId="0" applyNumberFormat="1" applyFont="1" applyFill="1"/>
    <xf numFmtId="0" fontId="0" fillId="7" borderId="73" xfId="0" applyFill="1" applyBorder="1"/>
    <xf numFmtId="0" fontId="0" fillId="7" borderId="29" xfId="0" applyFill="1" applyBorder="1"/>
    <xf numFmtId="0" fontId="5" fillId="7" borderId="1" xfId="13" applyFill="1" applyBorder="1"/>
    <xf numFmtId="0" fontId="13" fillId="7" borderId="0" xfId="0" applyFont="1" applyFill="1" applyAlignment="1">
      <alignment wrapText="1"/>
    </xf>
    <xf numFmtId="0" fontId="3" fillId="7" borderId="0" xfId="13" applyFont="1" applyFill="1" applyAlignment="1">
      <alignment horizontal="center"/>
    </xf>
    <xf numFmtId="0" fontId="5" fillId="7" borderId="0" xfId="13" applyFill="1" applyProtection="1">
      <protection locked="0"/>
    </xf>
    <xf numFmtId="3" fontId="5" fillId="7" borderId="0" xfId="13" applyNumberFormat="1" applyFill="1" applyProtection="1">
      <protection locked="0"/>
    </xf>
    <xf numFmtId="0" fontId="3" fillId="7" borderId="0" xfId="13" applyFont="1" applyFill="1" applyProtection="1">
      <protection locked="0"/>
    </xf>
    <xf numFmtId="0" fontId="10" fillId="7" borderId="0" xfId="13" quotePrefix="1" applyFont="1" applyFill="1"/>
    <xf numFmtId="0" fontId="5" fillId="7" borderId="0" xfId="13" applyFill="1" applyAlignment="1">
      <alignment vertical="center"/>
    </xf>
    <xf numFmtId="3" fontId="5" fillId="7" borderId="0" xfId="13" applyNumberFormat="1" applyFill="1" applyAlignment="1">
      <alignment vertical="center"/>
    </xf>
    <xf numFmtId="167" fontId="5" fillId="7" borderId="0" xfId="13" applyNumberFormat="1" applyFill="1" applyAlignment="1">
      <alignment vertical="center"/>
    </xf>
    <xf numFmtId="0" fontId="3" fillId="7" borderId="0" xfId="13" applyFont="1" applyFill="1" applyAlignment="1">
      <alignment vertical="center"/>
    </xf>
    <xf numFmtId="167" fontId="3" fillId="7" borderId="0" xfId="13" applyNumberFormat="1" applyFont="1" applyFill="1" applyAlignment="1">
      <alignment vertical="center"/>
    </xf>
    <xf numFmtId="167" fontId="3" fillId="7" borderId="0" xfId="13" applyNumberFormat="1" applyFont="1" applyFill="1"/>
    <xf numFmtId="4" fontId="3" fillId="7" borderId="0" xfId="13" applyNumberFormat="1" applyFont="1" applyFill="1"/>
    <xf numFmtId="167" fontId="5" fillId="7" borderId="0" xfId="13" applyNumberFormat="1" applyFill="1"/>
    <xf numFmtId="0" fontId="11" fillId="7" borderId="0" xfId="13" applyFont="1" applyFill="1"/>
    <xf numFmtId="0" fontId="16" fillId="7" borderId="0" xfId="13" quotePrefix="1" applyFont="1" applyFill="1"/>
    <xf numFmtId="4" fontId="0" fillId="7" borderId="0" xfId="0" applyNumberFormat="1" applyFill="1" applyAlignment="1">
      <alignment horizontal="right"/>
    </xf>
    <xf numFmtId="4" fontId="0" fillId="7" borderId="0" xfId="0" applyNumberFormat="1" applyFill="1"/>
    <xf numFmtId="167" fontId="5" fillId="13" borderId="35" xfId="0" applyNumberFormat="1" applyFont="1" applyFill="1" applyBorder="1" applyProtection="1">
      <protection locked="0"/>
    </xf>
    <xf numFmtId="167" fontId="5" fillId="0" borderId="42" xfId="0" applyNumberFormat="1" applyFont="1" applyBorder="1"/>
    <xf numFmtId="167" fontId="5" fillId="5" borderId="2" xfId="0" applyNumberFormat="1" applyFont="1" applyFill="1" applyBorder="1" applyProtection="1">
      <protection locked="0"/>
    </xf>
    <xf numFmtId="167" fontId="5" fillId="0" borderId="44" xfId="0" applyNumberFormat="1" applyFont="1" applyBorder="1"/>
    <xf numFmtId="3" fontId="5" fillId="0" borderId="26" xfId="0" applyNumberFormat="1" applyFont="1" applyBorder="1"/>
    <xf numFmtId="167" fontId="5" fillId="5" borderId="26" xfId="0" applyNumberFormat="1" applyFont="1" applyFill="1" applyBorder="1" applyProtection="1">
      <protection locked="0"/>
    </xf>
    <xf numFmtId="167" fontId="5" fillId="0" borderId="50" xfId="0" applyNumberFormat="1" applyFont="1" applyBorder="1"/>
    <xf numFmtId="167" fontId="5" fillId="0" borderId="21" xfId="0" applyNumberFormat="1" applyFont="1" applyBorder="1"/>
    <xf numFmtId="3" fontId="5" fillId="5" borderId="23" xfId="0" applyNumberFormat="1" applyFont="1" applyFill="1" applyBorder="1" applyProtection="1">
      <protection locked="0"/>
    </xf>
    <xf numFmtId="0" fontId="5" fillId="5" borderId="22" xfId="0" applyFont="1" applyFill="1" applyBorder="1" applyProtection="1">
      <protection locked="0"/>
    </xf>
    <xf numFmtId="0" fontId="5" fillId="5" borderId="23" xfId="0" applyFont="1" applyFill="1" applyBorder="1" applyProtection="1">
      <protection locked="0"/>
    </xf>
    <xf numFmtId="0" fontId="5" fillId="5" borderId="1" xfId="0" applyFont="1" applyFill="1" applyBorder="1" applyAlignment="1" applyProtection="1">
      <alignment vertical="center"/>
      <protection locked="0"/>
    </xf>
    <xf numFmtId="1" fontId="5" fillId="5" borderId="2" xfId="0" applyNumberFormat="1" applyFont="1" applyFill="1" applyBorder="1" applyAlignment="1" applyProtection="1">
      <alignment vertical="center"/>
      <protection locked="0"/>
    </xf>
    <xf numFmtId="0" fontId="5" fillId="13" borderId="2" xfId="0" applyFont="1" applyFill="1" applyBorder="1" applyProtection="1">
      <protection locked="0"/>
    </xf>
    <xf numFmtId="167" fontId="5" fillId="0" borderId="2" xfId="0" applyNumberFormat="1" applyFont="1" applyBorder="1"/>
    <xf numFmtId="167" fontId="5" fillId="0" borderId="60" xfId="0" applyNumberFormat="1" applyFont="1" applyBorder="1"/>
    <xf numFmtId="167" fontId="5" fillId="0" borderId="26" xfId="0" applyNumberFormat="1" applyFont="1" applyBorder="1"/>
    <xf numFmtId="0" fontId="5" fillId="13" borderId="3" xfId="0" applyFont="1" applyFill="1" applyBorder="1" applyProtection="1">
      <protection locked="0"/>
    </xf>
    <xf numFmtId="0" fontId="5" fillId="13" borderId="21" xfId="0" applyFont="1" applyFill="1" applyBorder="1" applyProtection="1">
      <protection locked="0"/>
    </xf>
    <xf numFmtId="0" fontId="5" fillId="13" borderId="1" xfId="0" applyFont="1" applyFill="1" applyBorder="1" applyProtection="1">
      <protection locked="0"/>
    </xf>
    <xf numFmtId="0" fontId="5" fillId="13" borderId="46" xfId="0" applyFont="1" applyFill="1" applyBorder="1" applyProtection="1">
      <protection locked="0"/>
    </xf>
    <xf numFmtId="0" fontId="5" fillId="13" borderId="26" xfId="0" applyFont="1" applyFill="1" applyBorder="1" applyProtection="1">
      <protection locked="0"/>
    </xf>
    <xf numFmtId="1" fontId="5" fillId="5" borderId="21" xfId="0" applyNumberFormat="1" applyFont="1" applyFill="1" applyBorder="1" applyProtection="1">
      <protection locked="0"/>
    </xf>
    <xf numFmtId="1" fontId="5" fillId="5" borderId="2" xfId="0" applyNumberFormat="1" applyFont="1" applyFill="1" applyBorder="1" applyProtection="1">
      <protection locked="0"/>
    </xf>
    <xf numFmtId="1" fontId="5" fillId="5" borderId="26" xfId="0" applyNumberFormat="1" applyFont="1" applyFill="1" applyBorder="1" applyProtection="1">
      <protection locked="0"/>
    </xf>
    <xf numFmtId="3" fontId="0" fillId="2" borderId="42" xfId="0" applyNumberFormat="1" applyFill="1" applyBorder="1"/>
    <xf numFmtId="3" fontId="0" fillId="2" borderId="44" xfId="0" applyNumberFormat="1" applyFill="1" applyBorder="1"/>
    <xf numFmtId="3" fontId="0" fillId="2" borderId="50" xfId="0" applyNumberFormat="1" applyFill="1" applyBorder="1"/>
    <xf numFmtId="3" fontId="0" fillId="0" borderId="21" xfId="0" applyNumberFormat="1" applyBorder="1"/>
    <xf numFmtId="167" fontId="5" fillId="0" borderId="43" xfId="0" applyNumberFormat="1" applyFont="1" applyBorder="1"/>
    <xf numFmtId="3" fontId="5" fillId="0" borderId="21" xfId="0" applyNumberFormat="1" applyFont="1" applyBorder="1"/>
    <xf numFmtId="167" fontId="5" fillId="13" borderId="21" xfId="0" applyNumberFormat="1" applyFont="1" applyFill="1" applyBorder="1" applyProtection="1">
      <protection locked="0"/>
    </xf>
    <xf numFmtId="167" fontId="5" fillId="13" borderId="43" xfId="0" applyNumberFormat="1" applyFont="1" applyFill="1" applyBorder="1" applyProtection="1">
      <protection locked="0"/>
    </xf>
    <xf numFmtId="167" fontId="5" fillId="13" borderId="44" xfId="0" applyNumberFormat="1" applyFont="1" applyFill="1" applyBorder="1" applyProtection="1">
      <protection locked="0"/>
    </xf>
    <xf numFmtId="167" fontId="5" fillId="13" borderId="50" xfId="0" applyNumberFormat="1" applyFont="1" applyFill="1" applyBorder="1" applyProtection="1">
      <protection locked="0"/>
    </xf>
    <xf numFmtId="0" fontId="2" fillId="7" borderId="0" xfId="8" applyFill="1" applyAlignment="1" applyProtection="1">
      <alignment horizontal="left"/>
    </xf>
    <xf numFmtId="0" fontId="5" fillId="2" borderId="1" xfId="0" applyFont="1" applyFill="1" applyBorder="1" applyAlignment="1">
      <alignment vertical="center"/>
    </xf>
    <xf numFmtId="0" fontId="5" fillId="7" borderId="0" xfId="0" quotePrefix="1" applyFont="1" applyFill="1" applyAlignment="1">
      <alignment horizontal="left" indent="3"/>
    </xf>
    <xf numFmtId="0" fontId="5" fillId="7" borderId="0" xfId="0" quotePrefix="1" applyFont="1" applyFill="1" applyAlignment="1">
      <alignment horizontal="left" indent="6"/>
    </xf>
    <xf numFmtId="0" fontId="3" fillId="0" borderId="10" xfId="0" applyFont="1" applyBorder="1" applyAlignment="1">
      <alignment horizontal="center"/>
    </xf>
    <xf numFmtId="0" fontId="3" fillId="6" borderId="17" xfId="0" applyFont="1" applyFill="1" applyBorder="1"/>
    <xf numFmtId="0" fontId="3" fillId="9" borderId="16" xfId="0" applyFont="1" applyFill="1" applyBorder="1"/>
    <xf numFmtId="0" fontId="3" fillId="9" borderId="17" xfId="0" applyFont="1" applyFill="1" applyBorder="1"/>
    <xf numFmtId="0" fontId="3" fillId="9" borderId="19" xfId="0" applyFont="1" applyFill="1" applyBorder="1"/>
    <xf numFmtId="3" fontId="5" fillId="5" borderId="43" xfId="0" applyNumberFormat="1" applyFont="1" applyFill="1" applyBorder="1" applyProtection="1">
      <protection locked="0"/>
    </xf>
    <xf numFmtId="0" fontId="0" fillId="13" borderId="46" xfId="0" applyFill="1" applyBorder="1" applyProtection="1">
      <protection locked="0"/>
    </xf>
    <xf numFmtId="0" fontId="5" fillId="7" borderId="0" xfId="0" applyFont="1" applyFill="1" applyAlignment="1">
      <alignment horizontal="left" indent="1"/>
    </xf>
    <xf numFmtId="0" fontId="3" fillId="3" borderId="61" xfId="0" applyFont="1" applyFill="1" applyBorder="1" applyAlignment="1">
      <alignment horizontal="center" vertical="top"/>
    </xf>
    <xf numFmtId="0" fontId="3" fillId="3" borderId="30" xfId="0" applyFont="1" applyFill="1" applyBorder="1" applyAlignment="1">
      <alignment horizontal="center" vertical="top"/>
    </xf>
    <xf numFmtId="0" fontId="3" fillId="3" borderId="30" xfId="0" applyFont="1" applyFill="1" applyBorder="1" applyAlignment="1">
      <alignment vertical="top"/>
    </xf>
    <xf numFmtId="0" fontId="3" fillId="3" borderId="30" xfId="0" applyFont="1" applyFill="1" applyBorder="1" applyAlignment="1">
      <alignment horizontal="center" vertical="top" wrapText="1"/>
    </xf>
    <xf numFmtId="0" fontId="3" fillId="12" borderId="7" xfId="0" applyFont="1" applyFill="1" applyBorder="1" applyAlignment="1">
      <alignment horizontal="center" vertical="top" wrapText="1"/>
    </xf>
    <xf numFmtId="0" fontId="3" fillId="12" borderId="8" xfId="0" applyFont="1" applyFill="1" applyBorder="1" applyAlignment="1">
      <alignment horizontal="center" vertical="top" wrapText="1"/>
    </xf>
    <xf numFmtId="0" fontId="3" fillId="3" borderId="61" xfId="0" applyFont="1" applyFill="1" applyBorder="1" applyAlignment="1">
      <alignment horizontal="center" vertical="top" wrapText="1"/>
    </xf>
    <xf numFmtId="0" fontId="3" fillId="3" borderId="51" xfId="0" applyFont="1" applyFill="1" applyBorder="1" applyAlignment="1">
      <alignment horizontal="center" vertical="top" wrapText="1"/>
    </xf>
    <xf numFmtId="0" fontId="3" fillId="3" borderId="9" xfId="0" applyFont="1" applyFill="1" applyBorder="1" applyAlignment="1">
      <alignment horizontal="center" vertical="top" wrapText="1"/>
    </xf>
    <xf numFmtId="0" fontId="3" fillId="3" borderId="28" xfId="0" applyFont="1" applyFill="1" applyBorder="1" applyAlignment="1">
      <alignment vertical="top"/>
    </xf>
    <xf numFmtId="0" fontId="3" fillId="3" borderId="61" xfId="0" applyFont="1" applyFill="1" applyBorder="1" applyAlignment="1">
      <alignment vertical="top"/>
    </xf>
    <xf numFmtId="0" fontId="3" fillId="14" borderId="7" xfId="13" applyFont="1" applyFill="1" applyBorder="1"/>
    <xf numFmtId="0" fontId="3" fillId="14" borderId="8" xfId="13" applyFont="1" applyFill="1" applyBorder="1" applyAlignment="1">
      <alignment horizontal="center"/>
    </xf>
    <xf numFmtId="0" fontId="3" fillId="14" borderId="8" xfId="13" quotePrefix="1" applyFont="1" applyFill="1" applyBorder="1" applyAlignment="1">
      <alignment horizontal="center" vertical="top"/>
    </xf>
    <xf numFmtId="0" fontId="3" fillId="14" borderId="9" xfId="13" applyFont="1" applyFill="1" applyBorder="1" applyAlignment="1">
      <alignment horizontal="center"/>
    </xf>
    <xf numFmtId="0" fontId="3" fillId="2" borderId="0" xfId="0" applyFont="1" applyFill="1" applyAlignment="1">
      <alignment horizontal="right"/>
    </xf>
    <xf numFmtId="0" fontId="0" fillId="7" borderId="35" xfId="0" applyFill="1" applyBorder="1"/>
    <xf numFmtId="2" fontId="0" fillId="7" borderId="2" xfId="0" applyNumberFormat="1" applyFill="1" applyBorder="1"/>
    <xf numFmtId="0" fontId="0" fillId="7" borderId="37" xfId="0" applyFill="1" applyBorder="1"/>
    <xf numFmtId="0" fontId="0" fillId="7" borderId="2" xfId="0" applyFill="1" applyBorder="1" applyAlignment="1">
      <alignment horizontal="left"/>
    </xf>
    <xf numFmtId="0" fontId="29" fillId="7" borderId="2" xfId="16" applyFont="1" applyFill="1" applyBorder="1" applyAlignment="1">
      <alignment horizontal="left"/>
    </xf>
    <xf numFmtId="166" fontId="0" fillId="7" borderId="2" xfId="0" applyNumberFormat="1" applyFill="1" applyBorder="1"/>
    <xf numFmtId="166" fontId="0" fillId="7" borderId="4" xfId="0" applyNumberFormat="1" applyFill="1" applyBorder="1"/>
    <xf numFmtId="0" fontId="0" fillId="7" borderId="15" xfId="0" applyFill="1" applyBorder="1"/>
    <xf numFmtId="166" fontId="0" fillId="7" borderId="35" xfId="0" applyNumberFormat="1" applyFill="1" applyBorder="1"/>
    <xf numFmtId="0" fontId="0" fillId="7" borderId="42" xfId="0" applyFill="1" applyBorder="1"/>
    <xf numFmtId="0" fontId="0" fillId="7" borderId="44" xfId="0" applyFill="1" applyBorder="1"/>
    <xf numFmtId="166" fontId="0" fillId="7" borderId="44" xfId="0" applyNumberFormat="1" applyFill="1" applyBorder="1"/>
    <xf numFmtId="0" fontId="55" fillId="7" borderId="75" xfId="0" applyFont="1" applyFill="1" applyBorder="1"/>
    <xf numFmtId="0" fontId="55" fillId="7" borderId="76" xfId="0" applyFont="1" applyFill="1" applyBorder="1"/>
    <xf numFmtId="3" fontId="55" fillId="7" borderId="76" xfId="0" applyNumberFormat="1" applyFont="1" applyFill="1" applyBorder="1"/>
    <xf numFmtId="0" fontId="55" fillId="7" borderId="78" xfId="0" applyFont="1" applyFill="1" applyBorder="1"/>
    <xf numFmtId="3" fontId="55" fillId="7" borderId="77" xfId="0" applyNumberFormat="1" applyFont="1" applyFill="1" applyBorder="1"/>
    <xf numFmtId="0" fontId="55" fillId="7" borderId="79" xfId="0" applyFont="1" applyFill="1" applyBorder="1" applyAlignment="1">
      <alignment horizontal="left"/>
    </xf>
    <xf numFmtId="0" fontId="55" fillId="7" borderId="76" xfId="0" applyFont="1" applyFill="1" applyBorder="1" applyAlignment="1">
      <alignment horizontal="left"/>
    </xf>
    <xf numFmtId="0" fontId="55" fillId="7" borderId="78" xfId="0" applyFont="1" applyFill="1" applyBorder="1" applyAlignment="1">
      <alignment horizontal="left"/>
    </xf>
    <xf numFmtId="167" fontId="55" fillId="0" borderId="77" xfId="0" applyNumberFormat="1" applyFont="1" applyBorder="1"/>
    <xf numFmtId="0" fontId="55" fillId="7" borderId="75" xfId="0" applyFont="1" applyFill="1" applyBorder="1" applyAlignment="1">
      <alignment horizontal="left"/>
    </xf>
    <xf numFmtId="167" fontId="55" fillId="7" borderId="80" xfId="0" applyNumberFormat="1" applyFont="1" applyFill="1" applyBorder="1"/>
    <xf numFmtId="0" fontId="55" fillId="7" borderId="3" xfId="0" applyFont="1" applyFill="1" applyBorder="1" applyProtection="1">
      <protection locked="0"/>
    </xf>
    <xf numFmtId="0" fontId="55" fillId="7" borderId="21" xfId="0" applyFont="1" applyFill="1" applyBorder="1" applyProtection="1">
      <protection locked="0"/>
    </xf>
    <xf numFmtId="1" fontId="55" fillId="7" borderId="21" xfId="0" applyNumberFormat="1" applyFont="1" applyFill="1" applyBorder="1" applyProtection="1">
      <protection locked="0"/>
    </xf>
    <xf numFmtId="171" fontId="55" fillId="7" borderId="21" xfId="2" applyNumberFormat="1" applyFont="1" applyFill="1" applyBorder="1" applyProtection="1">
      <protection locked="0"/>
    </xf>
    <xf numFmtId="2" fontId="55" fillId="7" borderId="21" xfId="0" applyNumberFormat="1" applyFont="1" applyFill="1" applyBorder="1" applyProtection="1">
      <protection locked="0"/>
    </xf>
    <xf numFmtId="167" fontId="55" fillId="7" borderId="76" xfId="0" applyNumberFormat="1" applyFont="1" applyFill="1" applyBorder="1"/>
    <xf numFmtId="167" fontId="55" fillId="7" borderId="77" xfId="0" applyNumberFormat="1" applyFont="1" applyFill="1" applyBorder="1"/>
    <xf numFmtId="0" fontId="55" fillId="7" borderId="81" xfId="0" applyFont="1" applyFill="1" applyBorder="1"/>
    <xf numFmtId="0" fontId="55" fillId="7" borderId="82" xfId="0" applyFont="1" applyFill="1" applyBorder="1"/>
    <xf numFmtId="3" fontId="55" fillId="7" borderId="82" xfId="0" applyNumberFormat="1" applyFont="1" applyFill="1" applyBorder="1"/>
    <xf numFmtId="0" fontId="55" fillId="7" borderId="66" xfId="0" applyFont="1" applyFill="1" applyBorder="1"/>
    <xf numFmtId="0" fontId="55" fillId="7" borderId="67" xfId="0" applyFont="1" applyFill="1" applyBorder="1"/>
    <xf numFmtId="3" fontId="55" fillId="7" borderId="67" xfId="0" applyNumberFormat="1" applyFont="1" applyFill="1" applyBorder="1"/>
    <xf numFmtId="167" fontId="55" fillId="7" borderId="67" xfId="0" applyNumberFormat="1" applyFont="1" applyFill="1" applyBorder="1"/>
    <xf numFmtId="167" fontId="55" fillId="7" borderId="83" xfId="0" applyNumberFormat="1" applyFont="1" applyFill="1" applyBorder="1"/>
    <xf numFmtId="0" fontId="55" fillId="7" borderId="79" xfId="0" applyFont="1" applyFill="1" applyBorder="1"/>
    <xf numFmtId="0" fontId="32" fillId="2" borderId="0" xfId="0" applyFont="1" applyFill="1" applyAlignment="1">
      <alignment vertical="center"/>
    </xf>
    <xf numFmtId="0" fontId="5" fillId="7" borderId="2" xfId="0" applyFont="1" applyFill="1" applyBorder="1"/>
    <xf numFmtId="166" fontId="5" fillId="7" borderId="2" xfId="0" applyNumberFormat="1" applyFont="1" applyFill="1" applyBorder="1"/>
    <xf numFmtId="166" fontId="5" fillId="7" borderId="44" xfId="0" applyNumberFormat="1" applyFont="1" applyFill="1" applyBorder="1"/>
    <xf numFmtId="171" fontId="55" fillId="7" borderId="76" xfId="2" applyNumberFormat="1" applyFont="1" applyFill="1" applyBorder="1" applyProtection="1"/>
    <xf numFmtId="3" fontId="5" fillId="7" borderId="0" xfId="0" applyNumberFormat="1" applyFont="1" applyFill="1"/>
    <xf numFmtId="4" fontId="3" fillId="2" borderId="0" xfId="0" applyNumberFormat="1" applyFont="1" applyFill="1"/>
    <xf numFmtId="171" fontId="53" fillId="7" borderId="67" xfId="2" applyNumberFormat="1" applyFont="1" applyFill="1" applyBorder="1" applyProtection="1"/>
    <xf numFmtId="3" fontId="5" fillId="5" borderId="11" xfId="0" applyNumberFormat="1" applyFont="1" applyFill="1" applyBorder="1" applyProtection="1">
      <protection locked="0"/>
    </xf>
    <xf numFmtId="0" fontId="20" fillId="7" borderId="0" xfId="0" applyFont="1" applyFill="1" applyAlignment="1">
      <alignment horizontal="left" vertical="top" wrapText="1"/>
    </xf>
    <xf numFmtId="0" fontId="20" fillId="7" borderId="0" xfId="0" applyFont="1" applyFill="1" applyAlignment="1">
      <alignment horizontal="left" wrapText="1"/>
    </xf>
    <xf numFmtId="0" fontId="20" fillId="7" borderId="48" xfId="0" applyFont="1" applyFill="1" applyBorder="1" applyAlignment="1">
      <alignment horizontal="left" wrapText="1"/>
    </xf>
    <xf numFmtId="0" fontId="20" fillId="7" borderId="0" xfId="0" applyFont="1" applyFill="1"/>
    <xf numFmtId="3" fontId="5" fillId="13" borderId="21" xfId="0" applyNumberFormat="1" applyFont="1" applyFill="1" applyBorder="1" applyProtection="1">
      <protection locked="0"/>
    </xf>
    <xf numFmtId="0" fontId="5" fillId="7" borderId="45" xfId="0" quotePrefix="1" applyFont="1" applyFill="1" applyBorder="1" applyAlignment="1">
      <alignment horizontal="right" vertical="center"/>
    </xf>
    <xf numFmtId="0" fontId="3" fillId="7" borderId="0" xfId="0" applyFont="1" applyFill="1" applyAlignment="1">
      <alignment vertical="center"/>
    </xf>
    <xf numFmtId="0" fontId="35" fillId="7" borderId="0" xfId="0" applyFont="1" applyFill="1"/>
    <xf numFmtId="0" fontId="33" fillId="7" borderId="0" xfId="8" applyFont="1" applyFill="1" applyAlignment="1" applyProtection="1">
      <alignment horizontal="left"/>
    </xf>
    <xf numFmtId="0" fontId="20" fillId="7" borderId="0" xfId="0" quotePrefix="1" applyFont="1" applyFill="1"/>
    <xf numFmtId="0" fontId="20" fillId="7" borderId="0" xfId="0" applyFont="1" applyFill="1" applyAlignment="1">
      <alignment vertical="top" wrapText="1"/>
    </xf>
    <xf numFmtId="0" fontId="35" fillId="8" borderId="28" xfId="0" applyFont="1" applyFill="1" applyBorder="1" applyAlignment="1">
      <alignment vertical="center"/>
    </xf>
    <xf numFmtId="0" fontId="20" fillId="8" borderId="29" xfId="0" applyFont="1" applyFill="1" applyBorder="1" applyAlignment="1">
      <alignment vertical="center"/>
    </xf>
    <xf numFmtId="0" fontId="20" fillId="8" borderId="73" xfId="0" applyFont="1" applyFill="1" applyBorder="1" applyAlignment="1">
      <alignment vertical="center"/>
    </xf>
    <xf numFmtId="0" fontId="20" fillId="8" borderId="70" xfId="0" applyFont="1" applyFill="1" applyBorder="1"/>
    <xf numFmtId="0" fontId="20" fillId="0" borderId="2" xfId="0" applyFont="1" applyBorder="1" applyAlignment="1" applyProtection="1">
      <alignment horizontal="center" vertical="center"/>
      <protection locked="0"/>
    </xf>
    <xf numFmtId="0" fontId="20" fillId="0" borderId="0" xfId="0" applyFont="1"/>
    <xf numFmtId="0" fontId="20" fillId="0" borderId="0" xfId="0" applyFont="1" applyAlignment="1">
      <alignment vertical="center"/>
    </xf>
    <xf numFmtId="0" fontId="20" fillId="7" borderId="0" xfId="0" applyFont="1" applyFill="1" applyAlignment="1">
      <alignment vertical="center"/>
    </xf>
    <xf numFmtId="0" fontId="20" fillId="7" borderId="21" xfId="0" applyFont="1" applyFill="1" applyBorder="1" applyAlignment="1">
      <alignment vertical="center"/>
    </xf>
    <xf numFmtId="0" fontId="20" fillId="7" borderId="2" xfId="0" applyFont="1" applyFill="1" applyBorder="1" applyAlignment="1" applyProtection="1">
      <alignment horizontal="center" vertical="center"/>
      <protection locked="0"/>
    </xf>
    <xf numFmtId="0" fontId="35" fillId="9" borderId="28" xfId="0" applyFont="1" applyFill="1" applyBorder="1" applyAlignment="1">
      <alignment vertical="center"/>
    </xf>
    <xf numFmtId="0" fontId="20" fillId="9" borderId="29" xfId="0" applyFont="1" applyFill="1" applyBorder="1" applyAlignment="1">
      <alignment vertical="center"/>
    </xf>
    <xf numFmtId="0" fontId="20" fillId="9" borderId="73" xfId="0" applyFont="1" applyFill="1" applyBorder="1" applyAlignment="1">
      <alignment vertical="center"/>
    </xf>
    <xf numFmtId="0" fontId="20" fillId="9" borderId="70" xfId="0" applyFont="1" applyFill="1" applyBorder="1"/>
    <xf numFmtId="0" fontId="36" fillId="2" borderId="0" xfId="0" quotePrefix="1" applyFont="1" applyFill="1"/>
    <xf numFmtId="0" fontId="20" fillId="2" borderId="0" xfId="0" applyFont="1" applyFill="1" applyAlignment="1">
      <alignment horizontal="right" vertical="center"/>
    </xf>
    <xf numFmtId="0" fontId="56" fillId="13" borderId="2" xfId="0" applyFont="1" applyFill="1" applyBorder="1" applyAlignment="1" applyProtection="1">
      <alignment horizontal="center" vertical="center"/>
      <protection locked="0"/>
    </xf>
    <xf numFmtId="0" fontId="20" fillId="2" borderId="23" xfId="0" applyFont="1" applyFill="1" applyBorder="1" applyAlignment="1">
      <alignment horizontal="right" vertical="center"/>
    </xf>
    <xf numFmtId="0" fontId="20" fillId="2" borderId="0" xfId="0" applyFont="1" applyFill="1" applyAlignment="1">
      <alignment horizontal="right"/>
    </xf>
    <xf numFmtId="0" fontId="35" fillId="2" borderId="0" xfId="0" applyFont="1" applyFill="1"/>
    <xf numFmtId="0" fontId="37" fillId="2" borderId="0" xfId="0" applyFont="1" applyFill="1"/>
    <xf numFmtId="0" fontId="20" fillId="2" borderId="4" xfId="0" applyFont="1" applyFill="1" applyBorder="1"/>
    <xf numFmtId="0" fontId="20" fillId="2" borderId="5" xfId="0" applyFont="1" applyFill="1" applyBorder="1"/>
    <xf numFmtId="0" fontId="20" fillId="2" borderId="6" xfId="0" applyFont="1" applyFill="1" applyBorder="1"/>
    <xf numFmtId="3" fontId="20" fillId="8" borderId="6" xfId="0" applyNumberFormat="1" applyFont="1" applyFill="1" applyBorder="1"/>
    <xf numFmtId="3" fontId="20" fillId="2" borderId="0" xfId="0" applyNumberFormat="1" applyFont="1" applyFill="1"/>
    <xf numFmtId="3" fontId="20" fillId="9" borderId="6" xfId="0" applyNumberFormat="1" applyFont="1" applyFill="1" applyBorder="1"/>
    <xf numFmtId="0" fontId="20" fillId="2" borderId="56" xfId="0" applyFont="1" applyFill="1" applyBorder="1"/>
    <xf numFmtId="0" fontId="20" fillId="7" borderId="0" xfId="0" quotePrefix="1" applyFont="1" applyFill="1" applyAlignment="1">
      <alignment horizontal="left" wrapText="1"/>
    </xf>
    <xf numFmtId="0" fontId="38" fillId="7" borderId="59" xfId="0" applyFont="1" applyFill="1" applyBorder="1" applyAlignment="1">
      <alignment vertical="center"/>
    </xf>
    <xf numFmtId="0" fontId="39" fillId="7" borderId="59" xfId="0" applyFont="1" applyFill="1" applyBorder="1" applyAlignment="1">
      <alignment vertical="center"/>
    </xf>
    <xf numFmtId="0" fontId="0" fillId="7" borderId="59" xfId="0" applyFill="1" applyBorder="1" applyAlignment="1">
      <alignment vertical="center"/>
    </xf>
    <xf numFmtId="0" fontId="20" fillId="7" borderId="59" xfId="0" applyFont="1" applyFill="1" applyBorder="1"/>
    <xf numFmtId="0" fontId="20" fillId="7" borderId="59" xfId="0" applyFont="1" applyFill="1" applyBorder="1" applyAlignment="1">
      <alignment horizontal="left"/>
    </xf>
    <xf numFmtId="0" fontId="5" fillId="7" borderId="59" xfId="0" applyFont="1" applyFill="1" applyBorder="1" applyAlignment="1">
      <alignment horizontal="right" vertical="top" wrapText="1"/>
    </xf>
    <xf numFmtId="0" fontId="20" fillId="7" borderId="59" xfId="0" applyFont="1" applyFill="1" applyBorder="1" applyAlignment="1">
      <alignment horizontal="left" vertical="center"/>
    </xf>
    <xf numFmtId="0" fontId="33" fillId="7" borderId="0" xfId="8" applyFont="1" applyFill="1" applyBorder="1" applyAlignment="1" applyProtection="1">
      <alignment vertical="center" wrapText="1"/>
    </xf>
    <xf numFmtId="0" fontId="43" fillId="15" borderId="4" xfId="0" applyFont="1" applyFill="1" applyBorder="1" applyAlignment="1">
      <alignment vertical="center"/>
    </xf>
    <xf numFmtId="0" fontId="5" fillId="15" borderId="5" xfId="0" applyFont="1" applyFill="1" applyBorder="1"/>
    <xf numFmtId="0" fontId="0" fillId="15" borderId="6" xfId="0" applyFill="1" applyBorder="1"/>
    <xf numFmtId="0" fontId="5" fillId="7" borderId="45" xfId="0" applyFont="1" applyFill="1" applyBorder="1" applyAlignment="1">
      <alignment vertical="center"/>
    </xf>
    <xf numFmtId="0" fontId="0" fillId="10" borderId="6" xfId="0" applyFill="1" applyBorder="1"/>
    <xf numFmtId="0" fontId="35" fillId="10" borderId="4" xfId="0" applyFont="1" applyFill="1" applyBorder="1" applyAlignment="1">
      <alignment vertical="center"/>
    </xf>
    <xf numFmtId="0" fontId="0" fillId="10" borderId="5" xfId="0" applyFill="1" applyBorder="1"/>
    <xf numFmtId="0" fontId="5" fillId="10" borderId="5" xfId="0" applyFont="1" applyFill="1" applyBorder="1" applyAlignment="1">
      <alignment horizontal="left"/>
    </xf>
    <xf numFmtId="0" fontId="20" fillId="14" borderId="2" xfId="0" applyFont="1" applyFill="1" applyBorder="1" applyAlignment="1" applyProtection="1">
      <alignment horizontal="center" vertical="center"/>
      <protection locked="0"/>
    </xf>
    <xf numFmtId="0" fontId="45" fillId="7" borderId="85" xfId="0" applyFont="1" applyFill="1" applyBorder="1"/>
    <xf numFmtId="0" fontId="46" fillId="7" borderId="85" xfId="0" applyFont="1" applyFill="1" applyBorder="1"/>
    <xf numFmtId="0" fontId="45" fillId="7" borderId="0" xfId="0" applyFont="1" applyFill="1"/>
    <xf numFmtId="0" fontId="46" fillId="7" borderId="0" xfId="0" applyFont="1" applyFill="1"/>
    <xf numFmtId="0" fontId="0" fillId="7" borderId="0" xfId="0" applyFill="1" applyAlignment="1">
      <alignment horizontal="left"/>
    </xf>
    <xf numFmtId="0" fontId="0" fillId="0" borderId="0" xfId="0" applyAlignment="1">
      <alignment horizontal="left"/>
    </xf>
    <xf numFmtId="0" fontId="35" fillId="7" borderId="85" xfId="0" applyFont="1" applyFill="1" applyBorder="1"/>
    <xf numFmtId="0" fontId="20" fillId="7" borderId="85" xfId="0" applyFont="1" applyFill="1" applyBorder="1"/>
    <xf numFmtId="0" fontId="20" fillId="7" borderId="59" xfId="0" quotePrefix="1" applyFont="1" applyFill="1" applyBorder="1"/>
    <xf numFmtId="0" fontId="41" fillId="7" borderId="0" xfId="0" applyFont="1" applyFill="1"/>
    <xf numFmtId="0" fontId="44" fillId="7" borderId="0" xfId="0" applyFont="1" applyFill="1"/>
    <xf numFmtId="176" fontId="29" fillId="2" borderId="41" xfId="2" applyNumberFormat="1" applyFont="1" applyFill="1" applyBorder="1" applyAlignment="1"/>
    <xf numFmtId="176" fontId="29" fillId="2" borderId="6" xfId="2" applyNumberFormat="1" applyFont="1" applyFill="1" applyBorder="1" applyAlignment="1"/>
    <xf numFmtId="176" fontId="29" fillId="7" borderId="6" xfId="2" applyNumberFormat="1" applyFont="1" applyFill="1" applyBorder="1" applyAlignment="1"/>
    <xf numFmtId="176" fontId="29" fillId="2" borderId="25" xfId="2" applyNumberFormat="1" applyFont="1" applyFill="1" applyBorder="1" applyAlignment="1"/>
    <xf numFmtId="3" fontId="0" fillId="0" borderId="0" xfId="0" applyNumberFormat="1"/>
    <xf numFmtId="0" fontId="5" fillId="7" borderId="0" xfId="0" quotePrefix="1" applyFont="1" applyFill="1" applyAlignment="1">
      <alignment horizontal="left" vertical="center" wrapText="1"/>
    </xf>
    <xf numFmtId="3" fontId="0" fillId="3" borderId="72" xfId="0" applyNumberFormat="1" applyFill="1" applyBorder="1"/>
    <xf numFmtId="3" fontId="0" fillId="3" borderId="28" xfId="0" applyNumberFormat="1" applyFill="1" applyBorder="1"/>
    <xf numFmtId="3" fontId="0" fillId="3" borderId="73" xfId="0" applyNumberFormat="1" applyFill="1" applyBorder="1"/>
    <xf numFmtId="0" fontId="10" fillId="3" borderId="13" xfId="0" applyFont="1" applyFill="1" applyBorder="1" applyAlignment="1">
      <alignment horizontal="center"/>
    </xf>
    <xf numFmtId="0" fontId="3" fillId="8" borderId="0" xfId="0" applyFont="1" applyFill="1" applyAlignment="1">
      <alignment wrapText="1"/>
    </xf>
    <xf numFmtId="0" fontId="3" fillId="8" borderId="19" xfId="0" applyFont="1" applyFill="1" applyBorder="1" applyAlignment="1">
      <alignment wrapText="1"/>
    </xf>
    <xf numFmtId="0" fontId="3" fillId="8" borderId="86" xfId="0" applyFont="1" applyFill="1" applyBorder="1"/>
    <xf numFmtId="0" fontId="3" fillId="8" borderId="87" xfId="0" applyFont="1" applyFill="1" applyBorder="1" applyAlignment="1">
      <alignment wrapText="1"/>
    </xf>
    <xf numFmtId="0" fontId="0" fillId="4" borderId="88" xfId="0" applyFill="1" applyBorder="1"/>
    <xf numFmtId="0" fontId="3" fillId="8" borderId="37" xfId="0" applyFont="1" applyFill="1" applyBorder="1" applyAlignment="1">
      <alignment horizontal="left" indent="3"/>
    </xf>
    <xf numFmtId="0" fontId="3" fillId="8" borderId="18" xfId="0" applyFont="1" applyFill="1" applyBorder="1" applyAlignment="1">
      <alignment horizontal="left" indent="3"/>
    </xf>
    <xf numFmtId="167" fontId="0" fillId="16" borderId="56" xfId="0" applyNumberFormat="1" applyFill="1" applyBorder="1"/>
    <xf numFmtId="167" fontId="0" fillId="16" borderId="30" xfId="0" applyNumberFormat="1" applyFill="1" applyBorder="1"/>
    <xf numFmtId="167" fontId="0" fillId="16" borderId="51" xfId="0" applyNumberFormat="1" applyFill="1" applyBorder="1"/>
    <xf numFmtId="167" fontId="0" fillId="17" borderId="30" xfId="0" applyNumberFormat="1" applyFill="1" applyBorder="1"/>
    <xf numFmtId="167" fontId="0" fillId="17" borderId="51" xfId="0" applyNumberFormat="1" applyFill="1" applyBorder="1"/>
    <xf numFmtId="3" fontId="5" fillId="16" borderId="21" xfId="0" applyNumberFormat="1" applyFont="1" applyFill="1" applyBorder="1" applyProtection="1">
      <protection locked="0"/>
    </xf>
    <xf numFmtId="167" fontId="3" fillId="8" borderId="47" xfId="0" applyNumberFormat="1" applyFont="1" applyFill="1" applyBorder="1"/>
    <xf numFmtId="167" fontId="3" fillId="8" borderId="54" xfId="0" applyNumberFormat="1" applyFont="1" applyFill="1" applyBorder="1"/>
    <xf numFmtId="9" fontId="5" fillId="7" borderId="0" xfId="18" applyFont="1" applyFill="1"/>
    <xf numFmtId="0" fontId="2" fillId="7" borderId="0" xfId="8" applyFill="1" applyBorder="1" applyAlignment="1" applyProtection="1">
      <alignment horizontal="left"/>
    </xf>
    <xf numFmtId="2" fontId="5" fillId="16" borderId="2" xfId="0" applyNumberFormat="1" applyFont="1" applyFill="1" applyBorder="1" applyProtection="1">
      <protection locked="0"/>
    </xf>
    <xf numFmtId="2" fontId="5" fillId="16" borderId="2" xfId="0" applyNumberFormat="1" applyFont="1" applyFill="1" applyBorder="1" applyAlignment="1" applyProtection="1">
      <alignment vertical="center"/>
      <protection locked="0"/>
    </xf>
    <xf numFmtId="2" fontId="5" fillId="16" borderId="26" xfId="0" applyNumberFormat="1" applyFont="1" applyFill="1" applyBorder="1" applyProtection="1">
      <protection locked="0"/>
    </xf>
    <xf numFmtId="167" fontId="5" fillId="16" borderId="30" xfId="0" applyNumberFormat="1" applyFont="1" applyFill="1" applyBorder="1"/>
    <xf numFmtId="167" fontId="5" fillId="16" borderId="51" xfId="0" applyNumberFormat="1" applyFont="1" applyFill="1" applyBorder="1"/>
    <xf numFmtId="167" fontId="5" fillId="17" borderId="30" xfId="0" applyNumberFormat="1" applyFont="1" applyFill="1" applyBorder="1"/>
    <xf numFmtId="167" fontId="5" fillId="17" borderId="51" xfId="0" applyNumberFormat="1" applyFont="1" applyFill="1" applyBorder="1"/>
    <xf numFmtId="0" fontId="3" fillId="8" borderId="88" xfId="0" applyFont="1" applyFill="1" applyBorder="1" applyAlignment="1">
      <alignment wrapText="1"/>
    </xf>
    <xf numFmtId="0" fontId="20" fillId="0" borderId="55" xfId="0" applyFont="1" applyBorder="1" applyAlignment="1">
      <alignment vertical="center"/>
    </xf>
    <xf numFmtId="0" fontId="20" fillId="0" borderId="59" xfId="0" applyFont="1" applyBorder="1" applyAlignment="1">
      <alignment vertical="center"/>
    </xf>
    <xf numFmtId="0" fontId="20" fillId="7" borderId="59" xfId="0" applyFont="1" applyFill="1" applyBorder="1" applyAlignment="1">
      <alignment vertical="center"/>
    </xf>
    <xf numFmtId="0" fontId="20" fillId="7" borderId="40" xfId="0" applyFont="1" applyFill="1" applyBorder="1" applyAlignment="1">
      <alignment vertical="center"/>
    </xf>
    <xf numFmtId="0" fontId="20" fillId="2" borderId="31" xfId="0" applyFont="1" applyFill="1" applyBorder="1"/>
    <xf numFmtId="3" fontId="20" fillId="8" borderId="54" xfId="0" applyNumberFormat="1" applyFont="1" applyFill="1" applyBorder="1"/>
    <xf numFmtId="3" fontId="20" fillId="8" borderId="73" xfId="0" applyNumberFormat="1" applyFont="1" applyFill="1" applyBorder="1"/>
    <xf numFmtId="165" fontId="5" fillId="7" borderId="0" xfId="13" applyNumberFormat="1" applyFill="1" applyAlignment="1">
      <alignment horizontal="center"/>
    </xf>
    <xf numFmtId="165" fontId="5" fillId="7" borderId="19" xfId="13" applyNumberFormat="1" applyFill="1" applyBorder="1" applyAlignment="1">
      <alignment horizontal="center"/>
    </xf>
    <xf numFmtId="2" fontId="5" fillId="7" borderId="0" xfId="13" applyNumberFormat="1" applyFill="1" applyAlignment="1">
      <alignment horizontal="center"/>
    </xf>
    <xf numFmtId="0" fontId="54" fillId="7" borderId="0" xfId="13" applyFont="1" applyFill="1"/>
    <xf numFmtId="0" fontId="0" fillId="7" borderId="0" xfId="0" applyFill="1" applyAlignment="1">
      <alignment wrapText="1"/>
    </xf>
    <xf numFmtId="0" fontId="5" fillId="7" borderId="0" xfId="13" quotePrefix="1" applyFill="1" applyAlignment="1">
      <alignment horizontal="left" vertical="top"/>
    </xf>
    <xf numFmtId="0" fontId="5" fillId="7" borderId="0" xfId="13" quotePrefix="1" applyFill="1" applyAlignment="1">
      <alignment horizontal="right" vertical="top"/>
    </xf>
    <xf numFmtId="43" fontId="5" fillId="7" borderId="0" xfId="2" applyFont="1" applyFill="1"/>
    <xf numFmtId="0" fontId="49" fillId="18" borderId="2" xfId="0" applyFont="1" applyFill="1" applyBorder="1" applyAlignment="1">
      <alignment vertical="center" wrapText="1"/>
    </xf>
    <xf numFmtId="0" fontId="37" fillId="0" borderId="0" xfId="0" applyFont="1"/>
    <xf numFmtId="0" fontId="20" fillId="0" borderId="28" xfId="0" applyFont="1" applyBorder="1"/>
    <xf numFmtId="0" fontId="20" fillId="0" borderId="29" xfId="0" applyFont="1" applyBorder="1"/>
    <xf numFmtId="0" fontId="20" fillId="0" borderId="18" xfId="0" applyFont="1" applyBorder="1"/>
    <xf numFmtId="0" fontId="20" fillId="0" borderId="19" xfId="0" applyFont="1" applyBorder="1"/>
    <xf numFmtId="0" fontId="20" fillId="0" borderId="4" xfId="0" applyFont="1" applyBorder="1"/>
    <xf numFmtId="0" fontId="20" fillId="0" borderId="5" xfId="0" applyFont="1" applyBorder="1"/>
    <xf numFmtId="0" fontId="5" fillId="16" borderId="21" xfId="0" applyFont="1" applyFill="1" applyBorder="1" applyProtection="1">
      <protection locked="0"/>
    </xf>
    <xf numFmtId="0" fontId="5" fillId="16" borderId="13" xfId="0" applyFont="1" applyFill="1" applyBorder="1" applyProtection="1">
      <protection locked="0"/>
    </xf>
    <xf numFmtId="0" fontId="55" fillId="7" borderId="80" xfId="0" applyFont="1" applyFill="1" applyBorder="1"/>
    <xf numFmtId="0" fontId="55" fillId="7" borderId="8" xfId="0" applyFont="1" applyFill="1" applyBorder="1"/>
    <xf numFmtId="0" fontId="5" fillId="5" borderId="89" xfId="0" applyFont="1" applyFill="1" applyBorder="1" applyProtection="1">
      <protection locked="0"/>
    </xf>
    <xf numFmtId="0" fontId="0" fillId="7" borderId="5" xfId="0" applyFill="1" applyBorder="1" applyAlignment="1">
      <alignment vertical="center"/>
    </xf>
    <xf numFmtId="0" fontId="3" fillId="10" borderId="7" xfId="0" applyFont="1" applyFill="1" applyBorder="1"/>
    <xf numFmtId="0" fontId="3" fillId="10" borderId="8" xfId="0" applyFont="1" applyFill="1" applyBorder="1"/>
    <xf numFmtId="0" fontId="3" fillId="10" borderId="9" xfId="0" applyFont="1" applyFill="1" applyBorder="1"/>
    <xf numFmtId="2" fontId="5" fillId="16" borderId="90" xfId="0" applyNumberFormat="1" applyFont="1" applyFill="1" applyBorder="1" applyProtection="1">
      <protection locked="0"/>
    </xf>
    <xf numFmtId="2" fontId="5" fillId="16" borderId="89" xfId="0" applyNumberFormat="1" applyFont="1" applyFill="1" applyBorder="1" applyProtection="1">
      <protection locked="0"/>
    </xf>
    <xf numFmtId="2" fontId="5" fillId="7" borderId="23" xfId="0" applyNumberFormat="1" applyFont="1" applyFill="1" applyBorder="1" applyProtection="1">
      <protection locked="0"/>
    </xf>
    <xf numFmtId="0" fontId="3" fillId="3" borderId="8" xfId="0" applyFont="1" applyFill="1" applyBorder="1" applyAlignment="1">
      <alignment horizontal="center" wrapText="1"/>
    </xf>
    <xf numFmtId="0" fontId="3" fillId="3" borderId="7" xfId="0" applyFont="1" applyFill="1" applyBorder="1" applyAlignment="1">
      <alignment vertical="top"/>
    </xf>
    <xf numFmtId="0" fontId="29" fillId="0" borderId="0" xfId="0" applyFont="1"/>
    <xf numFmtId="0" fontId="1" fillId="0" borderId="0" xfId="0" applyFont="1"/>
    <xf numFmtId="0" fontId="1" fillId="2" borderId="0" xfId="0" quotePrefix="1" applyFont="1" applyFill="1" applyAlignment="1">
      <alignment horizontal="left" indent="4"/>
    </xf>
    <xf numFmtId="0" fontId="5" fillId="0" borderId="1" xfId="0" applyFont="1" applyBorder="1" applyAlignment="1">
      <alignment horizontal="left"/>
    </xf>
    <xf numFmtId="0" fontId="1" fillId="2" borderId="27" xfId="0" applyFont="1" applyFill="1" applyBorder="1"/>
    <xf numFmtId="0" fontId="1" fillId="7" borderId="35" xfId="0" applyFont="1" applyFill="1" applyBorder="1"/>
    <xf numFmtId="165" fontId="1" fillId="7" borderId="35" xfId="0" applyNumberFormat="1" applyFont="1" applyFill="1" applyBorder="1"/>
    <xf numFmtId="2" fontId="1" fillId="7" borderId="35" xfId="0" applyNumberFormat="1" applyFont="1" applyFill="1" applyBorder="1"/>
    <xf numFmtId="172" fontId="1" fillId="7" borderId="35" xfId="3" applyNumberFormat="1" applyFont="1" applyFill="1" applyBorder="1"/>
    <xf numFmtId="0" fontId="1" fillId="2" borderId="42" xfId="0" applyFont="1" applyFill="1" applyBorder="1"/>
    <xf numFmtId="0" fontId="1" fillId="0" borderId="1" xfId="0" applyFont="1" applyBorder="1"/>
    <xf numFmtId="0" fontId="1" fillId="7" borderId="2" xfId="0" applyFont="1" applyFill="1" applyBorder="1"/>
    <xf numFmtId="165" fontId="1" fillId="7" borderId="2" xfId="0" applyNumberFormat="1" applyFont="1" applyFill="1" applyBorder="1"/>
    <xf numFmtId="2" fontId="1" fillId="7" borderId="2" xfId="0" applyNumberFormat="1" applyFont="1" applyFill="1" applyBorder="1"/>
    <xf numFmtId="43" fontId="1" fillId="7" borderId="2" xfId="3" applyFont="1" applyFill="1" applyBorder="1"/>
    <xf numFmtId="0" fontId="1" fillId="2" borderId="44" xfId="0" applyFont="1" applyFill="1" applyBorder="1"/>
    <xf numFmtId="0" fontId="1" fillId="2" borderId="1" xfId="0" applyFont="1" applyFill="1" applyBorder="1"/>
    <xf numFmtId="171" fontId="1" fillId="2" borderId="2" xfId="2" applyNumberFormat="1" applyFont="1" applyFill="1" applyBorder="1"/>
    <xf numFmtId="171" fontId="1" fillId="7" borderId="2" xfId="2" applyNumberFormat="1" applyFont="1" applyFill="1" applyBorder="1"/>
    <xf numFmtId="171" fontId="1" fillId="7" borderId="2" xfId="3" applyNumberFormat="1" applyFont="1" applyFill="1" applyBorder="1"/>
    <xf numFmtId="0" fontId="1" fillId="7" borderId="46" xfId="0" applyFont="1" applyFill="1" applyBorder="1"/>
    <xf numFmtId="0" fontId="1" fillId="7" borderId="26" xfId="0" applyFont="1" applyFill="1" applyBorder="1"/>
    <xf numFmtId="0" fontId="1" fillId="2" borderId="50" xfId="0" applyFont="1" applyFill="1" applyBorder="1"/>
    <xf numFmtId="0" fontId="1" fillId="2" borderId="35" xfId="0" applyFont="1" applyFill="1" applyBorder="1" applyAlignment="1">
      <alignment horizontal="left"/>
    </xf>
    <xf numFmtId="0" fontId="1" fillId="2" borderId="2" xfId="0" applyFont="1" applyFill="1" applyBorder="1" applyAlignment="1">
      <alignment horizontal="left"/>
    </xf>
    <xf numFmtId="0" fontId="1" fillId="3" borderId="2" xfId="0" applyFont="1" applyFill="1" applyBorder="1"/>
    <xf numFmtId="0" fontId="1" fillId="2" borderId="33" xfId="0" applyFont="1" applyFill="1" applyBorder="1"/>
    <xf numFmtId="0" fontId="1" fillId="3" borderId="11" xfId="0" applyFont="1" applyFill="1" applyBorder="1"/>
    <xf numFmtId="0" fontId="1" fillId="2" borderId="3" xfId="0" applyFont="1" applyFill="1" applyBorder="1"/>
    <xf numFmtId="0" fontId="1" fillId="2" borderId="46" xfId="0" applyFont="1" applyFill="1" applyBorder="1"/>
    <xf numFmtId="0" fontId="5" fillId="0" borderId="18" xfId="0" applyFont="1" applyBorder="1"/>
    <xf numFmtId="171" fontId="29" fillId="2" borderId="19" xfId="2" applyNumberFormat="1" applyFont="1" applyFill="1" applyBorder="1" applyAlignment="1">
      <alignment horizontal="right"/>
    </xf>
    <xf numFmtId="0" fontId="1" fillId="2" borderId="32" xfId="0" applyFont="1" applyFill="1" applyBorder="1"/>
    <xf numFmtId="167" fontId="5" fillId="2" borderId="3" xfId="0" applyNumberFormat="1" applyFont="1" applyFill="1" applyBorder="1"/>
    <xf numFmtId="0" fontId="2" fillId="7" borderId="0" xfId="8" applyFill="1" applyAlignment="1" applyProtection="1">
      <alignment horizontal="left" vertical="center"/>
    </xf>
    <xf numFmtId="0" fontId="29" fillId="7" borderId="23" xfId="16" applyFont="1" applyFill="1" applyBorder="1" applyAlignment="1">
      <alignment horizontal="left"/>
    </xf>
    <xf numFmtId="166" fontId="0" fillId="7" borderId="23" xfId="0" applyNumberFormat="1" applyFill="1" applyBorder="1"/>
    <xf numFmtId="166" fontId="0" fillId="7" borderId="58" xfId="0" applyNumberFormat="1" applyFill="1" applyBorder="1"/>
    <xf numFmtId="0" fontId="0" fillId="2" borderId="21" xfId="0" applyFill="1" applyBorder="1" applyAlignment="1">
      <alignment horizontal="left"/>
    </xf>
    <xf numFmtId="0" fontId="3" fillId="3" borderId="30" xfId="0" applyFont="1" applyFill="1" applyBorder="1" applyAlignment="1">
      <alignment horizontal="center" vertical="center" wrapText="1"/>
    </xf>
    <xf numFmtId="0" fontId="1" fillId="2" borderId="6" xfId="0" applyFont="1" applyFill="1" applyBorder="1"/>
    <xf numFmtId="0" fontId="1" fillId="2" borderId="2" xfId="0" applyFont="1" applyFill="1" applyBorder="1"/>
    <xf numFmtId="0" fontId="1" fillId="2" borderId="11" xfId="0" applyFont="1" applyFill="1" applyBorder="1"/>
    <xf numFmtId="0" fontId="3" fillId="3" borderId="61"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1" fillId="2" borderId="48" xfId="0" applyFont="1" applyFill="1" applyBorder="1"/>
    <xf numFmtId="0" fontId="1" fillId="2" borderId="25" xfId="0" applyFont="1" applyFill="1" applyBorder="1"/>
    <xf numFmtId="0" fontId="1" fillId="0" borderId="27" xfId="0" applyFont="1" applyBorder="1"/>
    <xf numFmtId="0" fontId="1" fillId="0" borderId="46" xfId="0" applyFont="1" applyBorder="1"/>
    <xf numFmtId="0" fontId="1" fillId="0" borderId="33" xfId="0" applyFont="1" applyBorder="1"/>
    <xf numFmtId="0" fontId="1" fillId="0" borderId="3" xfId="0" applyFont="1" applyBorder="1"/>
    <xf numFmtId="0" fontId="1" fillId="0" borderId="39" xfId="0" applyFont="1" applyBorder="1"/>
    <xf numFmtId="167" fontId="0" fillId="2" borderId="11" xfId="0" applyNumberFormat="1" applyFill="1" applyBorder="1" applyAlignment="1">
      <alignment horizontal="right"/>
    </xf>
    <xf numFmtId="0" fontId="1" fillId="0" borderId="6" xfId="0" applyFont="1" applyBorder="1"/>
    <xf numFmtId="0" fontId="1" fillId="0" borderId="2" xfId="0" applyFont="1" applyBorder="1"/>
    <xf numFmtId="0" fontId="1" fillId="0" borderId="41" xfId="0" applyFont="1" applyBorder="1"/>
    <xf numFmtId="0" fontId="1" fillId="3" borderId="35" xfId="0" applyFont="1" applyFill="1" applyBorder="1"/>
    <xf numFmtId="0" fontId="1" fillId="0" borderId="25" xfId="0" applyFont="1" applyBorder="1"/>
    <xf numFmtId="0" fontId="1" fillId="3" borderId="26" xfId="0" applyFont="1" applyFill="1" applyBorder="1"/>
    <xf numFmtId="167" fontId="0" fillId="2" borderId="12" xfId="0" applyNumberFormat="1" applyFill="1" applyBorder="1" applyAlignment="1">
      <alignment horizontal="right"/>
    </xf>
    <xf numFmtId="3" fontId="1" fillId="0" borderId="35" xfId="0" applyNumberFormat="1" applyFont="1" applyBorder="1"/>
    <xf numFmtId="3" fontId="1" fillId="0" borderId="2" xfId="0" applyNumberFormat="1" applyFont="1" applyBorder="1"/>
    <xf numFmtId="0" fontId="1" fillId="2" borderId="20" xfId="0" applyFont="1" applyFill="1" applyBorder="1"/>
    <xf numFmtId="0" fontId="3" fillId="3" borderId="61" xfId="0" applyFont="1" applyFill="1" applyBorder="1" applyAlignment="1">
      <alignment horizontal="center" vertical="center"/>
    </xf>
    <xf numFmtId="0" fontId="3" fillId="3" borderId="30" xfId="0" applyFont="1" applyFill="1" applyBorder="1" applyAlignment="1">
      <alignment horizontal="center" vertical="center"/>
    </xf>
    <xf numFmtId="2" fontId="3" fillId="21" borderId="30" xfId="25" applyNumberFormat="1" applyFont="1" applyFill="1" applyBorder="1" applyAlignment="1">
      <alignment horizontal="center" vertical="center" wrapText="1"/>
    </xf>
    <xf numFmtId="2" fontId="3" fillId="21" borderId="51" xfId="25" applyNumberFormat="1" applyFont="1" applyFill="1" applyBorder="1" applyAlignment="1">
      <alignment horizontal="center" vertical="center" wrapText="1"/>
    </xf>
    <xf numFmtId="2" fontId="1" fillId="2" borderId="0" xfId="25" applyNumberFormat="1" applyFont="1" applyFill="1" applyAlignment="1">
      <alignment vertical="center"/>
    </xf>
    <xf numFmtId="2" fontId="3" fillId="21" borderId="61" xfId="25" applyNumberFormat="1" applyFont="1" applyFill="1" applyBorder="1" applyAlignment="1">
      <alignment horizontal="center" vertical="center" wrapText="1"/>
    </xf>
    <xf numFmtId="180" fontId="1" fillId="0" borderId="27" xfId="0" applyNumberFormat="1" applyFont="1" applyBorder="1"/>
    <xf numFmtId="180" fontId="1" fillId="0" borderId="1" xfId="0" applyNumberFormat="1" applyFont="1" applyBorder="1"/>
    <xf numFmtId="180" fontId="1" fillId="0" borderId="46" xfId="0" applyNumberFormat="1" applyFont="1" applyBorder="1"/>
    <xf numFmtId="0" fontId="3" fillId="3" borderId="61" xfId="0" applyFont="1" applyFill="1" applyBorder="1"/>
    <xf numFmtId="0" fontId="5" fillId="0" borderId="3" xfId="0" applyFont="1" applyBorder="1"/>
    <xf numFmtId="3" fontId="0" fillId="2" borderId="25" xfId="0" applyNumberFormat="1" applyFill="1" applyBorder="1" applyAlignment="1">
      <alignment vertical="center"/>
    </xf>
    <xf numFmtId="0" fontId="0" fillId="2" borderId="74" xfId="0" applyFill="1" applyBorder="1" applyAlignment="1">
      <alignment vertical="center"/>
    </xf>
    <xf numFmtId="0" fontId="0" fillId="2" borderId="85" xfId="0" applyFill="1" applyBorder="1" applyAlignment="1">
      <alignment vertical="center"/>
    </xf>
    <xf numFmtId="0" fontId="0" fillId="2" borderId="93" xfId="0" applyFill="1" applyBorder="1" applyAlignment="1">
      <alignment vertical="center"/>
    </xf>
    <xf numFmtId="0" fontId="5" fillId="0" borderId="46" xfId="0" applyFont="1" applyBorder="1" applyAlignment="1">
      <alignment horizontal="left"/>
    </xf>
    <xf numFmtId="3" fontId="0" fillId="2" borderId="11" xfId="0" applyNumberFormat="1" applyFill="1" applyBorder="1" applyAlignment="1">
      <alignment horizontal="right"/>
    </xf>
    <xf numFmtId="3" fontId="0" fillId="2" borderId="35" xfId="0" applyNumberFormat="1" applyFill="1" applyBorder="1" applyAlignment="1">
      <alignment horizontal="right"/>
    </xf>
    <xf numFmtId="3" fontId="0" fillId="2" borderId="21" xfId="0" applyNumberFormat="1" applyFill="1" applyBorder="1" applyAlignment="1">
      <alignment horizontal="right"/>
    </xf>
    <xf numFmtId="0" fontId="1" fillId="7" borderId="0" xfId="13" applyFont="1" applyFill="1"/>
    <xf numFmtId="0" fontId="61" fillId="7" borderId="0" xfId="0" applyFont="1" applyFill="1"/>
    <xf numFmtId="0" fontId="1" fillId="0" borderId="0" xfId="0" applyFont="1" applyAlignment="1">
      <alignment horizontal="right"/>
    </xf>
    <xf numFmtId="2" fontId="1" fillId="0" borderId="0" xfId="0" applyNumberFormat="1" applyFont="1" applyAlignment="1">
      <alignment horizontal="right"/>
    </xf>
    <xf numFmtId="0" fontId="1" fillId="0" borderId="0" xfId="0" applyFont="1" applyAlignment="1">
      <alignment horizontal="left"/>
    </xf>
    <xf numFmtId="43" fontId="1" fillId="0" borderId="0" xfId="2" applyFont="1" applyFill="1" applyBorder="1" applyAlignment="1">
      <alignment horizontal="left"/>
    </xf>
    <xf numFmtId="2" fontId="1" fillId="0" borderId="0" xfId="0" applyNumberFormat="1" applyFont="1" applyAlignment="1">
      <alignment horizontal="left"/>
    </xf>
    <xf numFmtId="2" fontId="1" fillId="0" borderId="0" xfId="25" applyNumberFormat="1" applyFont="1" applyAlignment="1">
      <alignment horizontal="left" vertical="center"/>
    </xf>
    <xf numFmtId="0" fontId="1" fillId="7" borderId="0" xfId="0" applyFont="1" applyFill="1"/>
    <xf numFmtId="43" fontId="1" fillId="7" borderId="0" xfId="0" applyNumberFormat="1" applyFont="1" applyFill="1"/>
    <xf numFmtId="0" fontId="2" fillId="7" borderId="0" xfId="8" applyFill="1" applyAlignment="1" applyProtection="1">
      <alignment horizontal="left" wrapText="1"/>
    </xf>
    <xf numFmtId="0" fontId="1" fillId="7" borderId="0" xfId="13" applyFont="1" applyFill="1" applyAlignment="1">
      <alignment horizontal="left" indent="2"/>
    </xf>
    <xf numFmtId="0" fontId="1" fillId="0" borderId="21" xfId="0" applyFont="1" applyBorder="1" applyAlignment="1">
      <alignment horizontal="left"/>
    </xf>
    <xf numFmtId="0" fontId="1" fillId="0" borderId="2" xfId="0" applyFont="1" applyBorder="1" applyAlignment="1">
      <alignment horizontal="left"/>
    </xf>
    <xf numFmtId="181" fontId="5" fillId="2" borderId="2" xfId="0" applyNumberFormat="1" applyFont="1" applyFill="1" applyBorder="1" applyAlignment="1">
      <alignment horizontal="right"/>
    </xf>
    <xf numFmtId="2" fontId="5" fillId="2" borderId="2" xfId="0" applyNumberFormat="1" applyFont="1" applyFill="1" applyBorder="1" applyAlignment="1">
      <alignment horizontal="right"/>
    </xf>
    <xf numFmtId="164" fontId="5" fillId="2" borderId="2" xfId="0" applyNumberFormat="1" applyFont="1" applyFill="1" applyBorder="1" applyAlignment="1">
      <alignment horizontal="right"/>
    </xf>
    <xf numFmtId="0" fontId="1" fillId="5" borderId="2" xfId="0" applyFont="1" applyFill="1" applyBorder="1" applyProtection="1">
      <protection locked="0"/>
    </xf>
    <xf numFmtId="0" fontId="1" fillId="5" borderId="1" xfId="0" applyFont="1" applyFill="1" applyBorder="1" applyProtection="1">
      <protection locked="0"/>
    </xf>
    <xf numFmtId="0" fontId="1" fillId="5" borderId="21" xfId="0" applyFont="1" applyFill="1" applyBorder="1" applyProtection="1">
      <protection locked="0"/>
    </xf>
    <xf numFmtId="182" fontId="5" fillId="2" borderId="2" xfId="0" applyNumberFormat="1" applyFont="1" applyFill="1" applyBorder="1" applyAlignment="1">
      <alignment horizontal="right"/>
    </xf>
    <xf numFmtId="182" fontId="1" fillId="2" borderId="2" xfId="0" applyNumberFormat="1" applyFont="1" applyFill="1" applyBorder="1" applyAlignment="1">
      <alignment horizontal="right"/>
    </xf>
    <xf numFmtId="0" fontId="1" fillId="13" borderId="2" xfId="0" applyFont="1" applyFill="1" applyBorder="1" applyProtection="1">
      <protection locked="0"/>
    </xf>
    <xf numFmtId="0" fontId="1" fillId="2" borderId="33" xfId="0" applyFont="1" applyFill="1" applyBorder="1" applyAlignment="1">
      <alignment horizontal="left"/>
    </xf>
    <xf numFmtId="0" fontId="1" fillId="2" borderId="5" xfId="0" applyFont="1" applyFill="1" applyBorder="1" applyAlignment="1">
      <alignment horizontal="left"/>
    </xf>
    <xf numFmtId="0" fontId="1" fillId="2" borderId="6" xfId="0" applyFont="1" applyFill="1" applyBorder="1" applyAlignment="1">
      <alignment horizontal="left"/>
    </xf>
    <xf numFmtId="0" fontId="1" fillId="2" borderId="34" xfId="0" applyFont="1" applyFill="1" applyBorder="1"/>
    <xf numFmtId="171" fontId="0" fillId="2" borderId="35" xfId="2" applyNumberFormat="1" applyFont="1" applyFill="1" applyBorder="1"/>
    <xf numFmtId="171" fontId="0" fillId="2" borderId="2" xfId="2" applyNumberFormat="1" applyFont="1" applyFill="1" applyBorder="1"/>
    <xf numFmtId="171" fontId="0" fillId="2" borderId="26" xfId="2" applyNumberFormat="1" applyFont="1" applyFill="1" applyBorder="1"/>
    <xf numFmtId="171" fontId="0" fillId="2" borderId="42" xfId="2" applyNumberFormat="1" applyFont="1" applyFill="1" applyBorder="1"/>
    <xf numFmtId="171" fontId="0" fillId="2" borderId="44" xfId="2" applyNumberFormat="1" applyFont="1" applyFill="1" applyBorder="1"/>
    <xf numFmtId="171" fontId="0" fillId="2" borderId="50" xfId="2" applyNumberFormat="1" applyFont="1" applyFill="1" applyBorder="1"/>
    <xf numFmtId="0" fontId="1" fillId="2" borderId="33" xfId="0" applyFont="1" applyFill="1" applyBorder="1" applyAlignment="1">
      <alignment vertical="center"/>
    </xf>
    <xf numFmtId="3" fontId="0" fillId="0" borderId="21" xfId="0" applyNumberFormat="1" applyBorder="1" applyAlignment="1">
      <alignment vertical="center"/>
    </xf>
    <xf numFmtId="0" fontId="3" fillId="3" borderId="8" xfId="0" applyFont="1" applyFill="1" applyBorder="1" applyAlignment="1">
      <alignment horizontal="center" vertical="center" wrapText="1"/>
    </xf>
    <xf numFmtId="0" fontId="3" fillId="0" borderId="0" xfId="0" applyFont="1"/>
    <xf numFmtId="0" fontId="62" fillId="0" borderId="0" xfId="0" applyFont="1"/>
    <xf numFmtId="171" fontId="1" fillId="2" borderId="6" xfId="2" applyNumberFormat="1" applyFont="1" applyFill="1" applyBorder="1"/>
    <xf numFmtId="171" fontId="1" fillId="2" borderId="34" xfId="2" applyNumberFormat="1" applyFont="1" applyFill="1" applyBorder="1"/>
    <xf numFmtId="171" fontId="1" fillId="2" borderId="48" xfId="2" applyNumberFormat="1" applyFont="1" applyFill="1" applyBorder="1"/>
    <xf numFmtId="171" fontId="1" fillId="2" borderId="25" xfId="2" applyNumberFormat="1" applyFont="1" applyFill="1" applyBorder="1"/>
    <xf numFmtId="0" fontId="1" fillId="2" borderId="40" xfId="0" applyFont="1" applyFill="1" applyBorder="1"/>
    <xf numFmtId="171" fontId="1" fillId="2" borderId="40" xfId="2" applyNumberFormat="1" applyFont="1" applyFill="1" applyBorder="1"/>
    <xf numFmtId="0" fontId="1" fillId="2" borderId="41" xfId="0" applyFont="1" applyFill="1" applyBorder="1"/>
    <xf numFmtId="171" fontId="1" fillId="2" borderId="41" xfId="2" applyNumberFormat="1" applyFont="1" applyFill="1" applyBorder="1"/>
    <xf numFmtId="171" fontId="1" fillId="2" borderId="62" xfId="2" applyNumberFormat="1" applyFont="1" applyFill="1" applyBorder="1"/>
    <xf numFmtId="171" fontId="1" fillId="2" borderId="60" xfId="2" applyNumberFormat="1" applyFont="1" applyFill="1" applyBorder="1"/>
    <xf numFmtId="171" fontId="1" fillId="2" borderId="84" xfId="2" applyNumberFormat="1" applyFont="1" applyFill="1" applyBorder="1"/>
    <xf numFmtId="171" fontId="1" fillId="2" borderId="63" xfId="2" applyNumberFormat="1" applyFont="1" applyFill="1" applyBorder="1"/>
    <xf numFmtId="0" fontId="1" fillId="2" borderId="31" xfId="0" applyFont="1" applyFill="1" applyBorder="1"/>
    <xf numFmtId="171" fontId="1" fillId="2" borderId="31" xfId="2" applyNumberFormat="1" applyFont="1" applyFill="1" applyBorder="1"/>
    <xf numFmtId="171" fontId="1" fillId="2" borderId="54" xfId="2" applyNumberFormat="1" applyFont="1" applyFill="1" applyBorder="1"/>
    <xf numFmtId="171" fontId="1" fillId="2" borderId="47" xfId="2" applyNumberFormat="1" applyFont="1" applyFill="1" applyBorder="1"/>
    <xf numFmtId="171" fontId="1" fillId="2" borderId="94" xfId="2" applyNumberFormat="1" applyFont="1" applyFill="1" applyBorder="1"/>
    <xf numFmtId="0" fontId="3" fillId="3" borderId="15" xfId="0" applyFont="1" applyFill="1" applyBorder="1" applyAlignment="1">
      <alignment horizontal="center" vertical="center"/>
    </xf>
    <xf numFmtId="0" fontId="3" fillId="3" borderId="9" xfId="0" applyFont="1" applyFill="1" applyBorder="1" applyAlignment="1">
      <alignment horizontal="center" vertical="center" wrapText="1"/>
    </xf>
    <xf numFmtId="0" fontId="5" fillId="0" borderId="26" xfId="0" applyFont="1" applyBorder="1"/>
    <xf numFmtId="3" fontId="5" fillId="5" borderId="12" xfId="0" applyNumberFormat="1" applyFont="1" applyFill="1" applyBorder="1" applyProtection="1">
      <protection locked="0"/>
    </xf>
    <xf numFmtId="0" fontId="1" fillId="2" borderId="0" xfId="0" quotePrefix="1" applyFont="1" applyFill="1"/>
    <xf numFmtId="167" fontId="5" fillId="13" borderId="11" xfId="0" applyNumberFormat="1" applyFont="1" applyFill="1" applyBorder="1" applyProtection="1">
      <protection locked="0"/>
    </xf>
    <xf numFmtId="180" fontId="61" fillId="0" borderId="1" xfId="0" applyNumberFormat="1" applyFont="1" applyBorder="1"/>
    <xf numFmtId="0" fontId="5" fillId="7" borderId="0" xfId="0" quotePrefix="1" applyFont="1" applyFill="1" applyAlignment="1">
      <alignment horizontal="left" wrapText="1"/>
    </xf>
    <xf numFmtId="0" fontId="20" fillId="0" borderId="55" xfId="0" applyFont="1" applyBorder="1"/>
    <xf numFmtId="0" fontId="20" fillId="0" borderId="59" xfId="0" applyFont="1" applyBorder="1"/>
    <xf numFmtId="0" fontId="20" fillId="2" borderId="59" xfId="0" applyFont="1" applyFill="1" applyBorder="1"/>
    <xf numFmtId="0" fontId="20" fillId="2" borderId="40" xfId="0" applyFont="1" applyFill="1" applyBorder="1"/>
    <xf numFmtId="43" fontId="5" fillId="7" borderId="0" xfId="0" applyNumberFormat="1" applyFont="1" applyFill="1"/>
    <xf numFmtId="43" fontId="0" fillId="7" borderId="0" xfId="2" applyFont="1" applyFill="1"/>
    <xf numFmtId="183" fontId="0" fillId="7" borderId="0" xfId="0" applyNumberFormat="1" applyFill="1"/>
    <xf numFmtId="2" fontId="5" fillId="17" borderId="90" xfId="0" applyNumberFormat="1" applyFont="1" applyFill="1" applyBorder="1" applyProtection="1">
      <protection locked="0"/>
    </xf>
    <xf numFmtId="2" fontId="5" fillId="17" borderId="89" xfId="0" applyNumberFormat="1" applyFont="1" applyFill="1" applyBorder="1" applyProtection="1">
      <protection locked="0"/>
    </xf>
    <xf numFmtId="2" fontId="5" fillId="17" borderId="26" xfId="0" applyNumberFormat="1" applyFont="1" applyFill="1" applyBorder="1" applyProtection="1">
      <protection locked="0"/>
    </xf>
    <xf numFmtId="2" fontId="55" fillId="7" borderId="55" xfId="0" applyNumberFormat="1" applyFont="1" applyFill="1" applyBorder="1" applyProtection="1">
      <protection locked="0"/>
    </xf>
    <xf numFmtId="2" fontId="5" fillId="7" borderId="58" xfId="0" applyNumberFormat="1" applyFont="1" applyFill="1" applyBorder="1" applyProtection="1">
      <protection locked="0"/>
    </xf>
    <xf numFmtId="2" fontId="5" fillId="17" borderId="38" xfId="0" applyNumberFormat="1" applyFont="1" applyFill="1" applyBorder="1" applyProtection="1">
      <protection locked="0"/>
    </xf>
    <xf numFmtId="2" fontId="5" fillId="17" borderId="96" xfId="0" applyNumberFormat="1" applyFont="1" applyFill="1" applyBorder="1" applyProtection="1">
      <protection locked="0"/>
    </xf>
    <xf numFmtId="2" fontId="5" fillId="16" borderId="4" xfId="0" applyNumberFormat="1" applyFont="1" applyFill="1" applyBorder="1" applyProtection="1">
      <protection locked="0"/>
    </xf>
    <xf numFmtId="2" fontId="5" fillId="16" borderId="38" xfId="0" applyNumberFormat="1" applyFont="1" applyFill="1" applyBorder="1" applyProtection="1">
      <protection locked="0"/>
    </xf>
    <xf numFmtId="171" fontId="55" fillId="7" borderId="97" xfId="2" applyNumberFormat="1" applyFont="1" applyFill="1" applyBorder="1" applyProtection="1"/>
    <xf numFmtId="2" fontId="5" fillId="7" borderId="21" xfId="0" applyNumberFormat="1" applyFont="1" applyFill="1" applyBorder="1" applyProtection="1">
      <protection locked="0"/>
    </xf>
    <xf numFmtId="2" fontId="5" fillId="7" borderId="55" xfId="0" applyNumberFormat="1" applyFont="1" applyFill="1" applyBorder="1" applyProtection="1">
      <protection locked="0"/>
    </xf>
    <xf numFmtId="171" fontId="55" fillId="7" borderId="21" xfId="2" applyNumberFormat="1" applyFont="1" applyFill="1" applyBorder="1" applyProtection="1"/>
    <xf numFmtId="3" fontId="5" fillId="5" borderId="55" xfId="0" applyNumberFormat="1" applyFont="1" applyFill="1" applyBorder="1" applyProtection="1">
      <protection locked="0"/>
    </xf>
    <xf numFmtId="3" fontId="5" fillId="5" borderId="4" xfId="0" applyNumberFormat="1" applyFont="1" applyFill="1" applyBorder="1" applyProtection="1">
      <protection locked="0"/>
    </xf>
    <xf numFmtId="3" fontId="5" fillId="5" borderId="4" xfId="0" applyNumberFormat="1" applyFont="1" applyFill="1" applyBorder="1" applyAlignment="1" applyProtection="1">
      <alignment vertical="center"/>
      <protection locked="0"/>
    </xf>
    <xf numFmtId="3" fontId="5" fillId="5" borderId="38" xfId="0" applyNumberFormat="1" applyFont="1" applyFill="1" applyBorder="1" applyProtection="1">
      <protection locked="0"/>
    </xf>
    <xf numFmtId="171" fontId="55" fillId="7" borderId="55" xfId="2" applyNumberFormat="1" applyFont="1" applyFill="1" applyBorder="1" applyProtection="1">
      <protection locked="0"/>
    </xf>
    <xf numFmtId="3" fontId="53" fillId="7" borderId="98" xfId="0" applyNumberFormat="1" applyFont="1" applyFill="1" applyBorder="1"/>
    <xf numFmtId="2" fontId="55" fillId="7" borderId="3" xfId="0" applyNumberFormat="1" applyFont="1" applyFill="1" applyBorder="1" applyProtection="1">
      <protection locked="0"/>
    </xf>
    <xf numFmtId="171" fontId="55" fillId="7" borderId="43" xfId="2" applyNumberFormat="1" applyFont="1" applyFill="1" applyBorder="1" applyProtection="1"/>
    <xf numFmtId="2" fontId="5" fillId="7" borderId="22" xfId="0" applyNumberFormat="1" applyFont="1" applyFill="1" applyBorder="1" applyProtection="1">
      <protection locked="0"/>
    </xf>
    <xf numFmtId="2" fontId="5" fillId="17" borderId="46" xfId="0" applyNumberFormat="1" applyFont="1" applyFill="1" applyBorder="1" applyProtection="1">
      <protection locked="0"/>
    </xf>
    <xf numFmtId="171" fontId="0" fillId="16" borderId="2" xfId="2" applyNumberFormat="1" applyFont="1" applyFill="1" applyBorder="1"/>
    <xf numFmtId="171" fontId="0" fillId="16" borderId="44" xfId="2" applyNumberFormat="1" applyFont="1" applyFill="1" applyBorder="1"/>
    <xf numFmtId="171" fontId="0" fillId="16" borderId="26" xfId="2" applyNumberFormat="1" applyFont="1" applyFill="1" applyBorder="1"/>
    <xf numFmtId="171" fontId="0" fillId="16" borderId="50" xfId="2" applyNumberFormat="1" applyFont="1" applyFill="1" applyBorder="1"/>
    <xf numFmtId="0" fontId="1" fillId="3" borderId="29" xfId="0" applyFont="1" applyFill="1" applyBorder="1"/>
    <xf numFmtId="2" fontId="5" fillId="7" borderId="3" xfId="0" applyNumberFormat="1" applyFont="1" applyFill="1" applyBorder="1" applyProtection="1">
      <protection locked="0"/>
    </xf>
    <xf numFmtId="2" fontId="5" fillId="16" borderId="1" xfId="0" applyNumberFormat="1" applyFont="1" applyFill="1" applyBorder="1" applyProtection="1">
      <protection locked="0"/>
    </xf>
    <xf numFmtId="2" fontId="5" fillId="16" borderId="1" xfId="0" applyNumberFormat="1" applyFont="1" applyFill="1" applyBorder="1" applyAlignment="1" applyProtection="1">
      <alignment vertical="center"/>
      <protection locked="0"/>
    </xf>
    <xf numFmtId="2" fontId="5" fillId="16" borderId="46" xfId="0" applyNumberFormat="1" applyFont="1" applyFill="1" applyBorder="1" applyProtection="1">
      <protection locked="0"/>
    </xf>
    <xf numFmtId="3" fontId="55" fillId="7" borderId="57" xfId="0" applyNumberFormat="1" applyFont="1" applyFill="1" applyBorder="1"/>
    <xf numFmtId="3" fontId="5" fillId="5" borderId="58" xfId="0" applyNumberFormat="1" applyFont="1" applyFill="1" applyBorder="1" applyProtection="1">
      <protection locked="0"/>
    </xf>
    <xf numFmtId="0" fontId="55" fillId="7" borderId="99" xfId="0" applyFont="1" applyFill="1" applyBorder="1"/>
    <xf numFmtId="167" fontId="55" fillId="7" borderId="100" xfId="0" applyNumberFormat="1" applyFont="1" applyFill="1" applyBorder="1"/>
    <xf numFmtId="0" fontId="5" fillId="16" borderId="3" xfId="0" applyFont="1" applyFill="1" applyBorder="1" applyProtection="1">
      <protection locked="0"/>
    </xf>
    <xf numFmtId="0" fontId="5" fillId="16" borderId="20" xfId="0" applyFont="1" applyFill="1" applyBorder="1" applyProtection="1">
      <protection locked="0"/>
    </xf>
    <xf numFmtId="167" fontId="55" fillId="7" borderId="101" xfId="0" applyNumberFormat="1" applyFont="1" applyFill="1" applyBorder="1"/>
    <xf numFmtId="167" fontId="5" fillId="0" borderId="55" xfId="0" applyNumberFormat="1" applyFont="1" applyBorder="1"/>
    <xf numFmtId="167" fontId="55" fillId="7" borderId="99" xfId="0" applyNumberFormat="1" applyFont="1" applyFill="1" applyBorder="1"/>
    <xf numFmtId="167" fontId="5" fillId="0" borderId="3" xfId="0" applyNumberFormat="1" applyFont="1" applyBorder="1"/>
    <xf numFmtId="167" fontId="5" fillId="0" borderId="10" xfId="0" applyNumberFormat="1" applyFont="1" applyBorder="1"/>
    <xf numFmtId="167" fontId="5" fillId="0" borderId="11" xfId="0" applyNumberFormat="1" applyFont="1" applyBorder="1"/>
    <xf numFmtId="167" fontId="5" fillId="0" borderId="12" xfId="0" applyNumberFormat="1" applyFont="1" applyBorder="1"/>
    <xf numFmtId="171" fontId="5" fillId="7" borderId="58" xfId="2" applyNumberFormat="1" applyFont="1" applyFill="1" applyBorder="1" applyAlignment="1" applyProtection="1"/>
    <xf numFmtId="171" fontId="5" fillId="17" borderId="96" xfId="2" applyNumberFormat="1" applyFont="1" applyFill="1" applyBorder="1" applyAlignment="1" applyProtection="1"/>
    <xf numFmtId="171" fontId="5" fillId="17" borderId="95" xfId="2" applyNumberFormat="1" applyFont="1" applyFill="1" applyBorder="1" applyAlignment="1" applyProtection="1"/>
    <xf numFmtId="171" fontId="5" fillId="17" borderId="55" xfId="2" applyNumberFormat="1" applyFont="1" applyFill="1" applyBorder="1" applyAlignment="1" applyProtection="1"/>
    <xf numFmtId="171" fontId="5" fillId="17" borderId="38" xfId="2" applyNumberFormat="1" applyFont="1" applyFill="1" applyBorder="1" applyAlignment="1" applyProtection="1"/>
    <xf numFmtId="171" fontId="5" fillId="7" borderId="85" xfId="2" applyNumberFormat="1" applyFont="1" applyFill="1" applyBorder="1" applyAlignment="1" applyProtection="1"/>
    <xf numFmtId="171" fontId="5" fillId="17" borderId="59" xfId="2" applyNumberFormat="1" applyFont="1" applyFill="1" applyBorder="1" applyAlignment="1" applyProtection="1"/>
    <xf numFmtId="171" fontId="5" fillId="17" borderId="2" xfId="2" applyNumberFormat="1" applyFont="1" applyFill="1" applyBorder="1" applyAlignment="1" applyProtection="1"/>
    <xf numFmtId="171" fontId="5" fillId="17" borderId="26" xfId="2" applyNumberFormat="1" applyFont="1" applyFill="1" applyBorder="1" applyAlignment="1" applyProtection="1"/>
    <xf numFmtId="171" fontId="0" fillId="2" borderId="43" xfId="2" applyNumberFormat="1" applyFont="1" applyFill="1" applyBorder="1"/>
    <xf numFmtId="0" fontId="1" fillId="7" borderId="0" xfId="0" quotePrefix="1" applyFont="1" applyFill="1" applyAlignment="1">
      <alignment horizontal="left" indent="1"/>
    </xf>
    <xf numFmtId="43" fontId="0" fillId="2" borderId="0" xfId="2" applyFont="1" applyFill="1" applyBorder="1"/>
    <xf numFmtId="170" fontId="55" fillId="7" borderId="77" xfId="2" applyNumberFormat="1" applyFont="1" applyFill="1" applyBorder="1" applyProtection="1"/>
    <xf numFmtId="0" fontId="11" fillId="0" borderId="0" xfId="0" applyFont="1"/>
    <xf numFmtId="171" fontId="0" fillId="7" borderId="0" xfId="2" applyNumberFormat="1" applyFont="1" applyFill="1" applyBorder="1" applyAlignment="1">
      <alignment horizontal="right"/>
    </xf>
    <xf numFmtId="171" fontId="0" fillId="2" borderId="0" xfId="0" applyNumberFormat="1" applyFill="1"/>
    <xf numFmtId="3" fontId="1" fillId="5" borderId="43" xfId="0" applyNumberFormat="1" applyFont="1" applyFill="1" applyBorder="1" applyProtection="1">
      <protection locked="0"/>
    </xf>
    <xf numFmtId="0" fontId="1" fillId="5" borderId="3" xfId="0" applyFont="1" applyFill="1" applyBorder="1" applyProtection="1">
      <protection locked="0"/>
    </xf>
    <xf numFmtId="3" fontId="55" fillId="7" borderId="9" xfId="0" applyNumberFormat="1" applyFont="1" applyFill="1" applyBorder="1"/>
    <xf numFmtId="3" fontId="10" fillId="7" borderId="44" xfId="0" applyNumberFormat="1" applyFont="1" applyFill="1" applyBorder="1"/>
    <xf numFmtId="3" fontId="10" fillId="7" borderId="50" xfId="0" applyNumberFormat="1" applyFont="1" applyFill="1" applyBorder="1"/>
    <xf numFmtId="171" fontId="55" fillId="7" borderId="8" xfId="2" applyNumberFormat="1" applyFont="1" applyFill="1" applyBorder="1"/>
    <xf numFmtId="3" fontId="5" fillId="5" borderId="89" xfId="0" applyNumberFormat="1" applyFont="1" applyFill="1" applyBorder="1" applyProtection="1">
      <protection locked="0"/>
    </xf>
    <xf numFmtId="3" fontId="10" fillId="7" borderId="102" xfId="0" applyNumberFormat="1" applyFont="1" applyFill="1" applyBorder="1"/>
    <xf numFmtId="171" fontId="5" fillId="17" borderId="21" xfId="2" applyNumberFormat="1" applyFont="1" applyFill="1" applyBorder="1" applyAlignment="1" applyProtection="1"/>
    <xf numFmtId="171" fontId="5" fillId="7" borderId="103" xfId="2" applyNumberFormat="1" applyFont="1" applyFill="1" applyBorder="1" applyAlignment="1" applyProtection="1"/>
    <xf numFmtId="171" fontId="0" fillId="7" borderId="23" xfId="2" applyNumberFormat="1" applyFont="1" applyFill="1" applyBorder="1"/>
    <xf numFmtId="171" fontId="0" fillId="16" borderId="89" xfId="2" applyNumberFormat="1" applyFont="1" applyFill="1" applyBorder="1"/>
    <xf numFmtId="171" fontId="0" fillId="7" borderId="52" xfId="2" applyNumberFormat="1" applyFont="1" applyFill="1" applyBorder="1"/>
    <xf numFmtId="171" fontId="0" fillId="16" borderId="102" xfId="2" applyNumberFormat="1" applyFont="1" applyFill="1" applyBorder="1"/>
    <xf numFmtId="3" fontId="5" fillId="5" borderId="102" xfId="0" applyNumberFormat="1" applyFont="1" applyFill="1" applyBorder="1" applyProtection="1">
      <protection locked="0"/>
    </xf>
    <xf numFmtId="0" fontId="5" fillId="0" borderId="89" xfId="0" applyFont="1" applyBorder="1"/>
    <xf numFmtId="3" fontId="0" fillId="2" borderId="62" xfId="0" applyNumberFormat="1" applyFill="1" applyBorder="1" applyAlignment="1">
      <alignment horizontal="right"/>
    </xf>
    <xf numFmtId="3" fontId="0" fillId="2" borderId="2" xfId="0" applyNumberFormat="1" applyFill="1" applyBorder="1" applyAlignment="1">
      <alignment horizontal="right"/>
    </xf>
    <xf numFmtId="3" fontId="0" fillId="2" borderId="60" xfId="0" applyNumberFormat="1" applyFill="1" applyBorder="1" applyAlignment="1">
      <alignment horizontal="right"/>
    </xf>
    <xf numFmtId="0" fontId="1" fillId="5" borderId="40" xfId="0" applyFont="1" applyFill="1" applyBorder="1" applyProtection="1">
      <protection locked="0"/>
    </xf>
    <xf numFmtId="0" fontId="0" fillId="0" borderId="37" xfId="0" applyBorder="1"/>
    <xf numFmtId="43" fontId="0" fillId="0" borderId="0" xfId="2" applyFont="1" applyFill="1"/>
    <xf numFmtId="166" fontId="0" fillId="0" borderId="35" xfId="0" applyNumberFormat="1" applyBorder="1"/>
    <xf numFmtId="166" fontId="0" fillId="0" borderId="36" xfId="0" applyNumberFormat="1" applyBorder="1"/>
    <xf numFmtId="166" fontId="0" fillId="7" borderId="21" xfId="0" applyNumberFormat="1" applyFill="1" applyBorder="1"/>
    <xf numFmtId="166" fontId="0" fillId="7" borderId="55" xfId="0" applyNumberFormat="1" applyFill="1" applyBorder="1"/>
    <xf numFmtId="0" fontId="11" fillId="0" borderId="0" xfId="0" quotePrefix="1" applyFont="1"/>
    <xf numFmtId="4" fontId="0" fillId="0" borderId="0" xfId="0" applyNumberFormat="1"/>
    <xf numFmtId="173" fontId="18" fillId="0" borderId="2" xfId="2" applyNumberFormat="1" applyFont="1" applyFill="1" applyBorder="1"/>
    <xf numFmtId="173" fontId="0" fillId="0" borderId="2" xfId="0" applyNumberFormat="1" applyBorder="1"/>
    <xf numFmtId="0" fontId="0" fillId="0" borderId="2" xfId="0" applyBorder="1"/>
    <xf numFmtId="2" fontId="0" fillId="0" borderId="2" xfId="0" applyNumberFormat="1" applyBorder="1"/>
    <xf numFmtId="164" fontId="0" fillId="0" borderId="2" xfId="0" applyNumberFormat="1" applyBorder="1"/>
    <xf numFmtId="169" fontId="0" fillId="0" borderId="2" xfId="0" applyNumberFormat="1" applyBorder="1"/>
    <xf numFmtId="0" fontId="0" fillId="0" borderId="2" xfId="0" applyBorder="1" applyAlignment="1">
      <alignment vertical="center"/>
    </xf>
    <xf numFmtId="1" fontId="0" fillId="0" borderId="2" xfId="0" applyNumberFormat="1" applyBorder="1"/>
    <xf numFmtId="0" fontId="29" fillId="0" borderId="35" xfId="0" applyFont="1" applyBorder="1" applyAlignment="1">
      <alignment horizontal="left"/>
    </xf>
    <xf numFmtId="166" fontId="5" fillId="0" borderId="35" xfId="0" applyNumberFormat="1" applyFont="1" applyBorder="1"/>
    <xf numFmtId="166" fontId="5" fillId="0" borderId="42" xfId="0" applyNumberFormat="1" applyFont="1" applyBorder="1"/>
    <xf numFmtId="0" fontId="1" fillId="0" borderId="35" xfId="0" applyFont="1" applyBorder="1" applyAlignment="1">
      <alignment horizontal="left"/>
    </xf>
    <xf numFmtId="177" fontId="1" fillId="0" borderId="2" xfId="2" applyNumberFormat="1" applyFont="1" applyFill="1" applyBorder="1"/>
    <xf numFmtId="177" fontId="1" fillId="0" borderId="2" xfId="2" applyNumberFormat="1" applyFont="1" applyFill="1" applyBorder="1" applyAlignment="1">
      <alignment horizontal="right"/>
    </xf>
    <xf numFmtId="171" fontId="1" fillId="0" borderId="42" xfId="2" applyNumberFormat="1" applyFont="1" applyFill="1" applyBorder="1"/>
    <xf numFmtId="171" fontId="1" fillId="0" borderId="44" xfId="2" applyNumberFormat="1" applyFont="1" applyFill="1" applyBorder="1"/>
    <xf numFmtId="0" fontId="1" fillId="0" borderId="42" xfId="0" applyFont="1" applyBorder="1"/>
    <xf numFmtId="0" fontId="1" fillId="0" borderId="43" xfId="0" applyFont="1" applyBorder="1"/>
    <xf numFmtId="0" fontId="1" fillId="0" borderId="50" xfId="0" applyFont="1" applyBorder="1"/>
    <xf numFmtId="0" fontId="1" fillId="0" borderId="44" xfId="0" applyFont="1" applyBorder="1"/>
    <xf numFmtId="0" fontId="1" fillId="5" borderId="6" xfId="0" applyFont="1" applyFill="1" applyBorder="1" applyProtection="1">
      <protection locked="0"/>
    </xf>
    <xf numFmtId="0" fontId="1" fillId="7" borderId="21" xfId="0" applyFont="1" applyFill="1" applyBorder="1" applyAlignment="1">
      <alignment horizontal="left"/>
    </xf>
    <xf numFmtId="3" fontId="0" fillId="7" borderId="21" xfId="0" applyNumberFormat="1" applyFill="1" applyBorder="1"/>
    <xf numFmtId="167" fontId="0" fillId="7" borderId="21" xfId="0" applyNumberFormat="1" applyFill="1" applyBorder="1" applyAlignment="1">
      <alignment horizontal="right"/>
    </xf>
    <xf numFmtId="3" fontId="0" fillId="7" borderId="2" xfId="0" applyNumberFormat="1" applyFill="1" applyBorder="1"/>
    <xf numFmtId="167" fontId="0" fillId="7" borderId="2" xfId="0" applyNumberFormat="1" applyFill="1" applyBorder="1" applyAlignment="1">
      <alignment horizontal="right"/>
    </xf>
    <xf numFmtId="167" fontId="0" fillId="7" borderId="44" xfId="0" applyNumberFormat="1" applyFill="1" applyBorder="1"/>
    <xf numFmtId="167" fontId="0" fillId="7" borderId="44" xfId="0" applyNumberFormat="1" applyFill="1" applyBorder="1" applyAlignment="1">
      <alignment horizontal="right"/>
    </xf>
    <xf numFmtId="0" fontId="1" fillId="7" borderId="2" xfId="0" applyFont="1" applyFill="1" applyBorder="1" applyAlignment="1">
      <alignment horizontal="left"/>
    </xf>
    <xf numFmtId="3" fontId="0" fillId="7" borderId="23" xfId="0" applyNumberFormat="1" applyFill="1" applyBorder="1"/>
    <xf numFmtId="167" fontId="0" fillId="7" borderId="23" xfId="0" applyNumberFormat="1" applyFill="1" applyBorder="1" applyAlignment="1">
      <alignment horizontal="right"/>
    </xf>
    <xf numFmtId="167" fontId="0" fillId="7" borderId="52" xfId="0" applyNumberFormat="1" applyFill="1" applyBorder="1" applyAlignment="1">
      <alignment horizontal="right"/>
    </xf>
    <xf numFmtId="0" fontId="0" fillId="7" borderId="18" xfId="0" applyFill="1" applyBorder="1"/>
    <xf numFmtId="167" fontId="0" fillId="7" borderId="43" xfId="0" applyNumberFormat="1" applyFill="1" applyBorder="1" applyAlignment="1">
      <alignment horizontal="right"/>
    </xf>
    <xf numFmtId="3" fontId="0" fillId="2" borderId="8" xfId="0" applyNumberFormat="1" applyFill="1" applyBorder="1" applyAlignment="1">
      <alignment horizontal="right"/>
    </xf>
    <xf numFmtId="0" fontId="55" fillId="0" borderId="8" xfId="0" applyFont="1" applyBorder="1"/>
    <xf numFmtId="0" fontId="10" fillId="7" borderId="0" xfId="0" quotePrefix="1" applyFont="1" applyFill="1" applyAlignment="1">
      <alignment horizontal="left" indent="1"/>
    </xf>
    <xf numFmtId="3" fontId="1" fillId="5" borderId="21" xfId="0" applyNumberFormat="1" applyFont="1" applyFill="1" applyBorder="1" applyProtection="1">
      <protection locked="0"/>
    </xf>
    <xf numFmtId="0" fontId="11" fillId="7" borderId="0" xfId="0" applyFont="1" applyFill="1" applyAlignment="1">
      <alignment horizontal="left" wrapText="1"/>
    </xf>
    <xf numFmtId="0" fontId="1" fillId="3" borderId="28" xfId="0" applyFont="1" applyFill="1" applyBorder="1"/>
    <xf numFmtId="3" fontId="1" fillId="5" borderId="2" xfId="0" applyNumberFormat="1" applyFont="1" applyFill="1" applyBorder="1" applyProtection="1">
      <protection locked="0"/>
    </xf>
    <xf numFmtId="0" fontId="1" fillId="7" borderId="0" xfId="13" quotePrefix="1" applyFont="1" applyFill="1" applyAlignment="1">
      <alignment horizontal="left" vertical="top"/>
    </xf>
    <xf numFmtId="183" fontId="61" fillId="7" borderId="0" xfId="0" applyNumberFormat="1" applyFont="1" applyFill="1"/>
    <xf numFmtId="43" fontId="1" fillId="0" borderId="35" xfId="2" applyFill="1" applyBorder="1" applyAlignment="1">
      <alignment horizontal="right"/>
    </xf>
    <xf numFmtId="0" fontId="1" fillId="0" borderId="35" xfId="0" applyFont="1" applyBorder="1" applyAlignment="1">
      <alignment horizontal="right"/>
    </xf>
    <xf numFmtId="0" fontId="1" fillId="0" borderId="42" xfId="0" applyFont="1" applyBorder="1" applyAlignment="1">
      <alignment horizontal="right"/>
    </xf>
    <xf numFmtId="43" fontId="1" fillId="0" borderId="2" xfId="2" applyFill="1" applyBorder="1" applyAlignment="1">
      <alignment horizontal="right"/>
    </xf>
    <xf numFmtId="0" fontId="1" fillId="0" borderId="2" xfId="0" applyFont="1" applyBorder="1" applyAlignment="1">
      <alignment horizontal="right"/>
    </xf>
    <xf numFmtId="0" fontId="1" fillId="0" borderId="44" xfId="0" applyFont="1" applyBorder="1" applyAlignment="1">
      <alignment horizontal="right"/>
    </xf>
    <xf numFmtId="2" fontId="1" fillId="0" borderId="2" xfId="0" applyNumberFormat="1" applyFont="1" applyBorder="1" applyAlignment="1">
      <alignment horizontal="right"/>
    </xf>
    <xf numFmtId="2" fontId="1" fillId="0" borderId="44" xfId="0" applyNumberFormat="1" applyFont="1" applyBorder="1" applyAlignment="1">
      <alignment horizontal="right"/>
    </xf>
    <xf numFmtId="178" fontId="1" fillId="0" borderId="2" xfId="2" applyNumberFormat="1" applyFill="1" applyBorder="1" applyAlignment="1">
      <alignment horizontal="right"/>
    </xf>
    <xf numFmtId="43" fontId="1" fillId="0" borderId="26" xfId="2" applyFill="1" applyBorder="1" applyAlignment="1">
      <alignment horizontal="right"/>
    </xf>
    <xf numFmtId="0" fontId="1" fillId="0" borderId="26" xfId="0" applyFont="1" applyBorder="1" applyAlignment="1">
      <alignment horizontal="right"/>
    </xf>
    <xf numFmtId="0" fontId="1" fillId="0" borderId="50" xfId="0" applyFont="1" applyBorder="1" applyAlignment="1">
      <alignment horizontal="right"/>
    </xf>
    <xf numFmtId="43" fontId="61" fillId="7" borderId="0" xfId="0" applyNumberFormat="1" applyFont="1" applyFill="1"/>
    <xf numFmtId="0" fontId="3" fillId="12" borderId="8" xfId="13" applyFont="1" applyFill="1" applyBorder="1" applyAlignment="1">
      <alignment horizontal="center"/>
    </xf>
    <xf numFmtId="0" fontId="3" fillId="12" borderId="8" xfId="13" quotePrefix="1" applyFont="1" applyFill="1" applyBorder="1" applyAlignment="1">
      <alignment horizontal="center" vertical="top"/>
    </xf>
    <xf numFmtId="0" fontId="3" fillId="12" borderId="9" xfId="13" applyFont="1" applyFill="1" applyBorder="1" applyAlignment="1">
      <alignment horizontal="center"/>
    </xf>
    <xf numFmtId="0" fontId="3" fillId="12" borderId="30" xfId="0" applyFont="1" applyFill="1" applyBorder="1" applyAlignment="1">
      <alignment horizontal="center" vertical="center"/>
    </xf>
    <xf numFmtId="0" fontId="19" fillId="7" borderId="2" xfId="13" applyFont="1" applyFill="1" applyBorder="1" applyAlignment="1">
      <alignment vertical="center" wrapText="1"/>
    </xf>
    <xf numFmtId="0" fontId="5" fillId="7" borderId="1" xfId="13" applyFill="1" applyBorder="1" applyAlignment="1">
      <alignment horizontal="left" indent="1"/>
    </xf>
    <xf numFmtId="165" fontId="5" fillId="0" borderId="35" xfId="13" applyNumberFormat="1" applyBorder="1" applyAlignment="1">
      <alignment horizontal="center"/>
    </xf>
    <xf numFmtId="165" fontId="5" fillId="0" borderId="42" xfId="13" applyNumberFormat="1" applyBorder="1" applyAlignment="1">
      <alignment horizontal="center"/>
    </xf>
    <xf numFmtId="165" fontId="1" fillId="0" borderId="2" xfId="13" applyNumberFormat="1" applyFont="1" applyBorder="1" applyAlignment="1">
      <alignment horizontal="center"/>
    </xf>
    <xf numFmtId="165" fontId="5" fillId="0" borderId="2" xfId="13" applyNumberFormat="1" applyBorder="1" applyAlignment="1">
      <alignment horizontal="center"/>
    </xf>
    <xf numFmtId="165" fontId="1" fillId="0" borderId="44" xfId="13" applyNumberFormat="1" applyFont="1" applyBorder="1" applyAlignment="1">
      <alignment horizontal="center"/>
    </xf>
    <xf numFmtId="165" fontId="5" fillId="0" borderId="44" xfId="13" applyNumberFormat="1" applyBorder="1" applyAlignment="1">
      <alignment horizontal="center"/>
    </xf>
    <xf numFmtId="165" fontId="1" fillId="0" borderId="26" xfId="13" applyNumberFormat="1" applyFont="1" applyBorder="1" applyAlignment="1">
      <alignment horizontal="center"/>
    </xf>
    <xf numFmtId="165" fontId="5" fillId="0" borderId="26" xfId="13" applyNumberFormat="1" applyBorder="1" applyAlignment="1">
      <alignment horizontal="center"/>
    </xf>
    <xf numFmtId="165" fontId="1" fillId="0" borderId="50" xfId="13" applyNumberFormat="1" applyFont="1" applyBorder="1" applyAlignment="1">
      <alignment horizontal="center"/>
    </xf>
    <xf numFmtId="166" fontId="5" fillId="0" borderId="35" xfId="13" applyNumberFormat="1" applyBorder="1" applyAlignment="1">
      <alignment horizontal="center"/>
    </xf>
    <xf numFmtId="164" fontId="1" fillId="0" borderId="42" xfId="13" applyNumberFormat="1" applyFont="1" applyBorder="1" applyAlignment="1">
      <alignment horizontal="center"/>
    </xf>
    <xf numFmtId="166" fontId="5" fillId="0" borderId="2" xfId="13" applyNumberFormat="1" applyBorder="1" applyAlignment="1">
      <alignment horizontal="center"/>
    </xf>
    <xf numFmtId="164" fontId="1" fillId="0" borderId="44" xfId="13" applyNumberFormat="1" applyFont="1" applyBorder="1" applyAlignment="1">
      <alignment horizontal="center"/>
    </xf>
    <xf numFmtId="164" fontId="5" fillId="0" borderId="44" xfId="13" applyNumberFormat="1" applyBorder="1" applyAlignment="1">
      <alignment horizontal="center"/>
    </xf>
    <xf numFmtId="166" fontId="5" fillId="0" borderId="26" xfId="13" applyNumberFormat="1" applyBorder="1" applyAlignment="1">
      <alignment horizontal="center"/>
    </xf>
    <xf numFmtId="164" fontId="1" fillId="0" borderId="50" xfId="13" applyNumberFormat="1" applyFont="1" applyBorder="1" applyAlignment="1">
      <alignment horizontal="center"/>
    </xf>
    <xf numFmtId="0" fontId="3" fillId="7" borderId="35" xfId="0" applyFont="1" applyFill="1" applyBorder="1"/>
    <xf numFmtId="3" fontId="0" fillId="2" borderId="21" xfId="0" applyNumberFormat="1" applyFill="1" applyBorder="1" applyAlignment="1">
      <alignment vertical="center"/>
    </xf>
    <xf numFmtId="180" fontId="3" fillId="0" borderId="0" xfId="0" applyNumberFormat="1" applyFont="1"/>
    <xf numFmtId="0" fontId="61" fillId="2" borderId="0" xfId="0" applyFont="1" applyFill="1" applyAlignment="1">
      <alignment vertical="center"/>
    </xf>
    <xf numFmtId="0" fontId="1" fillId="7" borderId="1" xfId="0" applyFont="1" applyFill="1" applyBorder="1"/>
    <xf numFmtId="43" fontId="1" fillId="7" borderId="2" xfId="3" applyFont="1" applyFill="1" applyBorder="1" applyAlignment="1">
      <alignment vertical="center"/>
    </xf>
    <xf numFmtId="43" fontId="1" fillId="7" borderId="26" xfId="3" applyFont="1" applyFill="1" applyBorder="1" applyAlignment="1">
      <alignment vertical="center"/>
    </xf>
    <xf numFmtId="0" fontId="1" fillId="5" borderId="55" xfId="0" applyFont="1" applyFill="1" applyBorder="1" applyProtection="1">
      <protection locked="0"/>
    </xf>
    <xf numFmtId="0" fontId="5" fillId="5" borderId="49" xfId="0" applyFont="1" applyFill="1" applyBorder="1" applyProtection="1">
      <protection locked="0"/>
    </xf>
    <xf numFmtId="0" fontId="1" fillId="0" borderId="55" xfId="0" applyFont="1" applyBorder="1"/>
    <xf numFmtId="0" fontId="5" fillId="0" borderId="55" xfId="0" applyFont="1" applyBorder="1"/>
    <xf numFmtId="0" fontId="5" fillId="0" borderId="49" xfId="0" applyFont="1" applyBorder="1"/>
    <xf numFmtId="0" fontId="55" fillId="7" borderId="77" xfId="0" applyFont="1" applyFill="1" applyBorder="1"/>
    <xf numFmtId="0" fontId="5" fillId="0" borderId="43" xfId="0" applyFont="1" applyBorder="1"/>
    <xf numFmtId="0" fontId="5" fillId="0" borderId="12" xfId="0" applyFont="1" applyBorder="1"/>
    <xf numFmtId="177" fontId="1" fillId="0" borderId="4" xfId="2" applyNumberFormat="1" applyFont="1" applyFill="1" applyBorder="1"/>
    <xf numFmtId="177" fontId="1" fillId="0" borderId="4" xfId="2" applyNumberFormat="1" applyFont="1" applyFill="1" applyBorder="1" applyAlignment="1">
      <alignment horizontal="right"/>
    </xf>
    <xf numFmtId="0" fontId="3" fillId="3" borderId="18" xfId="0" applyFont="1" applyFill="1" applyBorder="1" applyAlignment="1">
      <alignment horizontal="center"/>
    </xf>
    <xf numFmtId="0" fontId="3" fillId="3" borderId="19" xfId="0" applyFont="1" applyFill="1" applyBorder="1" applyAlignment="1">
      <alignment horizontal="center"/>
    </xf>
    <xf numFmtId="0" fontId="3" fillId="3" borderId="15" xfId="0" applyFont="1" applyFill="1" applyBorder="1" applyAlignment="1">
      <alignment horizontal="center"/>
    </xf>
    <xf numFmtId="0" fontId="3" fillId="3" borderId="16" xfId="0" applyFont="1" applyFill="1" applyBorder="1" applyAlignment="1">
      <alignment horizontal="center"/>
    </xf>
    <xf numFmtId="0" fontId="1" fillId="2" borderId="0" xfId="0" applyFont="1" applyFill="1" applyAlignment="1">
      <alignment horizontal="left"/>
    </xf>
    <xf numFmtId="0" fontId="1" fillId="2" borderId="22" xfId="0" applyFont="1" applyFill="1" applyBorder="1"/>
    <xf numFmtId="171" fontId="1" fillId="0" borderId="52" xfId="2" applyNumberFormat="1" applyFont="1" applyFill="1" applyBorder="1" applyAlignment="1">
      <alignment horizontal="right"/>
    </xf>
    <xf numFmtId="0" fontId="1" fillId="2" borderId="43" xfId="0" applyFont="1" applyFill="1" applyBorder="1" applyAlignment="1">
      <alignment vertical="center"/>
    </xf>
    <xf numFmtId="0" fontId="3" fillId="22" borderId="28" xfId="0" applyFont="1" applyFill="1" applyBorder="1" applyAlignment="1">
      <alignment vertical="top"/>
    </xf>
    <xf numFmtId="0" fontId="3" fillId="22" borderId="29" xfId="0" applyFont="1" applyFill="1" applyBorder="1" applyAlignment="1">
      <alignment vertical="top"/>
    </xf>
    <xf numFmtId="0" fontId="3" fillId="22" borderId="73" xfId="0" applyFont="1" applyFill="1" applyBorder="1" applyAlignment="1">
      <alignment vertical="top"/>
    </xf>
    <xf numFmtId="171" fontId="0" fillId="7" borderId="0" xfId="2" applyNumberFormat="1" applyFont="1" applyFill="1" applyAlignment="1">
      <alignment vertical="center"/>
    </xf>
    <xf numFmtId="0" fontId="0" fillId="7" borderId="4" xfId="0" applyFill="1" applyBorder="1"/>
    <xf numFmtId="0" fontId="0" fillId="7" borderId="5" xfId="0" applyFill="1" applyBorder="1"/>
    <xf numFmtId="0" fontId="0" fillId="7" borderId="6" xfId="0" applyFill="1" applyBorder="1"/>
    <xf numFmtId="0" fontId="5" fillId="7" borderId="4" xfId="0" applyFont="1" applyFill="1" applyBorder="1"/>
    <xf numFmtId="170" fontId="0" fillId="7" borderId="6" xfId="2" applyNumberFormat="1" applyFont="1" applyFill="1" applyBorder="1"/>
    <xf numFmtId="43" fontId="1" fillId="0" borderId="21" xfId="0" applyNumberFormat="1" applyFont="1" applyBorder="1"/>
    <xf numFmtId="43" fontId="1" fillId="0" borderId="43" xfId="0" applyNumberFormat="1" applyFont="1" applyBorder="1"/>
    <xf numFmtId="43" fontId="1" fillId="0" borderId="44" xfId="0" applyNumberFormat="1" applyFont="1" applyBorder="1"/>
    <xf numFmtId="43" fontId="1" fillId="0" borderId="2" xfId="0" applyNumberFormat="1" applyFont="1" applyBorder="1"/>
    <xf numFmtId="1" fontId="1" fillId="2" borderId="21" xfId="2" quotePrefix="1" applyNumberFormat="1" applyFont="1" applyFill="1" applyBorder="1" applyAlignment="1">
      <alignment horizontal="right"/>
    </xf>
    <xf numFmtId="1" fontId="1" fillId="2" borderId="44" xfId="2" quotePrefix="1" applyNumberFormat="1" applyFont="1" applyFill="1" applyBorder="1" applyAlignment="1">
      <alignment horizontal="right"/>
    </xf>
    <xf numFmtId="43" fontId="1" fillId="0" borderId="26" xfId="0" applyNumberFormat="1" applyFont="1" applyBorder="1"/>
    <xf numFmtId="43" fontId="1" fillId="0" borderId="50" xfId="0" applyNumberFormat="1" applyFont="1" applyBorder="1"/>
    <xf numFmtId="0" fontId="3" fillId="3" borderId="57" xfId="0" applyFont="1" applyFill="1" applyBorder="1" applyAlignment="1">
      <alignment horizontal="center" vertical="top" wrapText="1"/>
    </xf>
    <xf numFmtId="0" fontId="3" fillId="3" borderId="30" xfId="0" applyFont="1" applyFill="1" applyBorder="1" applyAlignment="1">
      <alignment vertical="center"/>
    </xf>
    <xf numFmtId="0" fontId="0" fillId="7" borderId="27" xfId="0" applyFill="1" applyBorder="1"/>
    <xf numFmtId="174" fontId="0" fillId="7" borderId="42" xfId="18" applyNumberFormat="1" applyFont="1" applyFill="1" applyBorder="1"/>
    <xf numFmtId="0" fontId="5" fillId="7" borderId="46" xfId="0" applyFont="1" applyFill="1" applyBorder="1"/>
    <xf numFmtId="174" fontId="0" fillId="7" borderId="50" xfId="18" applyNumberFormat="1" applyFont="1" applyFill="1" applyBorder="1"/>
    <xf numFmtId="0" fontId="12" fillId="7" borderId="0" xfId="0" applyFont="1" applyFill="1"/>
    <xf numFmtId="17" fontId="40" fillId="0" borderId="59" xfId="0" quotePrefix="1" applyNumberFormat="1" applyFont="1" applyBorder="1" applyAlignment="1">
      <alignment horizontal="left" vertical="center"/>
    </xf>
    <xf numFmtId="0" fontId="0" fillId="0" borderId="33" xfId="0" applyBorder="1" applyAlignment="1">
      <alignment vertical="center"/>
    </xf>
    <xf numFmtId="0" fontId="0" fillId="0" borderId="6" xfId="0" applyBorder="1" applyAlignment="1">
      <alignment vertical="center"/>
    </xf>
    <xf numFmtId="0" fontId="0" fillId="0" borderId="43" xfId="0" applyBorder="1" applyAlignment="1">
      <alignment vertical="center"/>
    </xf>
    <xf numFmtId="0" fontId="3" fillId="0" borderId="28" xfId="0" applyFont="1" applyBorder="1" applyAlignment="1">
      <alignment vertical="top"/>
    </xf>
    <xf numFmtId="0" fontId="3" fillId="0" borderId="29" xfId="0" applyFont="1" applyBorder="1" applyAlignment="1">
      <alignment vertical="top"/>
    </xf>
    <xf numFmtId="0" fontId="3" fillId="0" borderId="73" xfId="0" applyFont="1" applyBorder="1" applyAlignment="1">
      <alignment vertical="top"/>
    </xf>
    <xf numFmtId="0" fontId="1" fillId="0" borderId="44" xfId="0" applyFont="1" applyBorder="1" applyAlignment="1">
      <alignment vertical="center"/>
    </xf>
    <xf numFmtId="0" fontId="61" fillId="0" borderId="0" xfId="0" applyFont="1" applyAlignment="1">
      <alignment vertical="center"/>
    </xf>
    <xf numFmtId="0" fontId="0" fillId="0" borderId="44" xfId="0" applyBorder="1" applyAlignment="1">
      <alignment vertical="center"/>
    </xf>
    <xf numFmtId="0" fontId="29" fillId="0" borderId="1" xfId="0" applyFont="1" applyBorder="1"/>
    <xf numFmtId="0" fontId="29" fillId="0" borderId="27" xfId="0" applyFont="1" applyBorder="1"/>
    <xf numFmtId="0" fontId="0" fillId="0" borderId="41" xfId="0" applyBorder="1" applyAlignment="1">
      <alignment vertical="center"/>
    </xf>
    <xf numFmtId="3" fontId="0" fillId="0" borderId="35" xfId="0" applyNumberFormat="1" applyBorder="1" applyAlignment="1">
      <alignment vertical="center"/>
    </xf>
    <xf numFmtId="0" fontId="0" fillId="0" borderId="42" xfId="0" applyBorder="1" applyAlignment="1">
      <alignment vertical="center"/>
    </xf>
    <xf numFmtId="0" fontId="29" fillId="0" borderId="22" xfId="0" applyFont="1" applyBorder="1"/>
    <xf numFmtId="0" fontId="0" fillId="0" borderId="34" xfId="0" applyBorder="1" applyAlignment="1">
      <alignment vertical="center"/>
    </xf>
    <xf numFmtId="3" fontId="0" fillId="0" borderId="23" xfId="0" applyNumberFormat="1" applyBorder="1" applyAlignment="1">
      <alignment vertical="center"/>
    </xf>
    <xf numFmtId="0" fontId="0" fillId="0" borderId="25" xfId="0" applyBorder="1"/>
    <xf numFmtId="3" fontId="0" fillId="0" borderId="26" xfId="0" applyNumberFormat="1" applyBorder="1" applyAlignment="1">
      <alignment vertical="center"/>
    </xf>
    <xf numFmtId="0" fontId="0" fillId="0" borderId="5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167" fontId="0" fillId="0" borderId="40" xfId="0" applyNumberFormat="1" applyBorder="1" applyAlignment="1">
      <alignment vertical="center"/>
    </xf>
    <xf numFmtId="171" fontId="0" fillId="0" borderId="0" xfId="2" applyNumberFormat="1" applyFont="1" applyFill="1" applyAlignment="1">
      <alignment vertical="center"/>
    </xf>
    <xf numFmtId="0" fontId="0" fillId="0" borderId="37" xfId="0" applyBorder="1" applyAlignment="1">
      <alignment vertical="center"/>
    </xf>
    <xf numFmtId="0" fontId="0" fillId="0" borderId="48" xfId="0" applyBorder="1" applyAlignment="1">
      <alignment vertical="center"/>
    </xf>
    <xf numFmtId="167" fontId="0" fillId="0" borderId="48" xfId="0" applyNumberFormat="1" applyBorder="1" applyAlignment="1">
      <alignment vertical="center"/>
    </xf>
    <xf numFmtId="0" fontId="3" fillId="0" borderId="39" xfId="0" applyFont="1" applyBorder="1" applyAlignment="1">
      <alignment vertical="center"/>
    </xf>
    <xf numFmtId="0" fontId="3" fillId="0" borderId="40" xfId="0" applyFont="1" applyBorder="1" applyAlignment="1">
      <alignment vertical="center"/>
    </xf>
    <xf numFmtId="167" fontId="3" fillId="0" borderId="40" xfId="0" applyNumberFormat="1" applyFont="1" applyBorder="1" applyAlignment="1">
      <alignment vertical="center"/>
    </xf>
    <xf numFmtId="0" fontId="29" fillId="0" borderId="3" xfId="0" applyFont="1" applyBorder="1"/>
    <xf numFmtId="0" fontId="5" fillId="0" borderId="22" xfId="0" applyFont="1" applyBorder="1"/>
    <xf numFmtId="0" fontId="3" fillId="0" borderId="24" xfId="0" applyFont="1" applyBorder="1" applyAlignment="1">
      <alignment vertical="center"/>
    </xf>
    <xf numFmtId="0" fontId="3" fillId="0" borderId="25" xfId="0" applyFont="1" applyBorder="1" applyAlignment="1">
      <alignment vertical="center"/>
    </xf>
    <xf numFmtId="167" fontId="3" fillId="0" borderId="25" xfId="0" applyNumberFormat="1" applyFont="1" applyBorder="1" applyAlignment="1">
      <alignment vertical="center"/>
    </xf>
    <xf numFmtId="0" fontId="3" fillId="0" borderId="61" xfId="0" applyFont="1" applyBorder="1"/>
    <xf numFmtId="0" fontId="3" fillId="0" borderId="29" xfId="0" applyFont="1" applyBorder="1"/>
    <xf numFmtId="167" fontId="3" fillId="0" borderId="30" xfId="0" applyNumberFormat="1" applyFont="1" applyBorder="1"/>
    <xf numFmtId="167" fontId="3" fillId="0" borderId="51" xfId="0" applyNumberFormat="1" applyFont="1" applyBorder="1"/>
    <xf numFmtId="171" fontId="24" fillId="0" borderId="0" xfId="2" applyNumberFormat="1" applyFont="1" applyFill="1"/>
    <xf numFmtId="167" fontId="0" fillId="0" borderId="2" xfId="0" applyNumberFormat="1" applyBorder="1" applyAlignment="1">
      <alignment horizontal="right"/>
    </xf>
    <xf numFmtId="167" fontId="0" fillId="0" borderId="44" xfId="0" applyNumberFormat="1" applyBorder="1" applyAlignment="1">
      <alignment horizontal="right"/>
    </xf>
    <xf numFmtId="3" fontId="0" fillId="0" borderId="11" xfId="0" applyNumberFormat="1" applyBorder="1"/>
    <xf numFmtId="167" fontId="0" fillId="0" borderId="11" xfId="0" applyNumberFormat="1" applyBorder="1" applyAlignment="1">
      <alignment horizontal="right"/>
    </xf>
    <xf numFmtId="167" fontId="0" fillId="0" borderId="12" xfId="0" applyNumberFormat="1" applyBorder="1" applyAlignment="1">
      <alignment horizontal="right"/>
    </xf>
    <xf numFmtId="167" fontId="0" fillId="0" borderId="35" xfId="0" applyNumberFormat="1" applyBorder="1" applyAlignment="1">
      <alignment horizontal="right"/>
    </xf>
    <xf numFmtId="167" fontId="0" fillId="0" borderId="42" xfId="0" applyNumberFormat="1" applyBorder="1" applyAlignment="1">
      <alignment horizontal="right"/>
    </xf>
    <xf numFmtId="0" fontId="0" fillId="0" borderId="2" xfId="0" applyBorder="1" applyAlignment="1">
      <alignment horizontal="left"/>
    </xf>
    <xf numFmtId="167" fontId="0" fillId="0" borderId="21" xfId="0" applyNumberFormat="1" applyBorder="1" applyAlignment="1">
      <alignment horizontal="right"/>
    </xf>
    <xf numFmtId="167" fontId="0" fillId="0" borderId="43" xfId="0" applyNumberFormat="1" applyBorder="1" applyAlignment="1">
      <alignment horizontal="right"/>
    </xf>
    <xf numFmtId="0" fontId="29" fillId="0" borderId="2" xfId="16" applyFont="1" applyBorder="1" applyAlignment="1">
      <alignment horizontal="left"/>
    </xf>
    <xf numFmtId="167" fontId="0" fillId="0" borderId="23" xfId="0" applyNumberFormat="1" applyBorder="1" applyAlignment="1">
      <alignment horizontal="right"/>
    </xf>
    <xf numFmtId="167" fontId="0" fillId="0" borderId="52" xfId="0" applyNumberFormat="1" applyBorder="1" applyAlignment="1">
      <alignment horizontal="right"/>
    </xf>
    <xf numFmtId="0" fontId="1" fillId="0" borderId="11" xfId="0" applyFont="1" applyBorder="1" applyAlignment="1">
      <alignment horizontal="left"/>
    </xf>
    <xf numFmtId="167" fontId="0" fillId="0" borderId="26" xfId="0" applyNumberFormat="1" applyBorder="1" applyAlignment="1">
      <alignment horizontal="right"/>
    </xf>
    <xf numFmtId="167" fontId="0" fillId="0" borderId="50" xfId="0" applyNumberFormat="1" applyBorder="1" applyAlignment="1">
      <alignment horizontal="right"/>
    </xf>
    <xf numFmtId="0" fontId="29" fillId="0" borderId="21" xfId="16" applyFont="1" applyBorder="1" applyAlignment="1">
      <alignment horizontal="left"/>
    </xf>
    <xf numFmtId="0" fontId="29" fillId="0" borderId="13" xfId="16" applyFont="1" applyBorder="1" applyAlignment="1">
      <alignment horizontal="left"/>
    </xf>
    <xf numFmtId="0" fontId="29" fillId="0" borderId="26" xfId="16" applyFont="1" applyBorder="1" applyAlignment="1">
      <alignment horizontal="left"/>
    </xf>
    <xf numFmtId="3" fontId="0" fillId="0" borderId="2" xfId="0" applyNumberFormat="1" applyBorder="1" applyAlignment="1">
      <alignment horizontal="right"/>
    </xf>
    <xf numFmtId="3" fontId="0" fillId="0" borderId="60" xfId="0" applyNumberFormat="1" applyBorder="1" applyAlignment="1">
      <alignment horizontal="right"/>
    </xf>
    <xf numFmtId="3" fontId="0" fillId="0" borderId="35" xfId="0" applyNumberFormat="1" applyBorder="1" applyAlignment="1">
      <alignment horizontal="right"/>
    </xf>
    <xf numFmtId="3" fontId="0" fillId="0" borderId="62" xfId="0" applyNumberFormat="1" applyBorder="1" applyAlignment="1">
      <alignment horizontal="right"/>
    </xf>
    <xf numFmtId="3" fontId="0" fillId="0" borderId="21" xfId="0" applyNumberFormat="1" applyBorder="1" applyAlignment="1">
      <alignment horizontal="right"/>
    </xf>
    <xf numFmtId="3" fontId="0" fillId="0" borderId="63" xfId="0" applyNumberFormat="1" applyBorder="1" applyAlignment="1">
      <alignment horizontal="right"/>
    </xf>
    <xf numFmtId="0" fontId="1" fillId="0" borderId="26" xfId="0" applyFont="1" applyBorder="1" applyAlignment="1">
      <alignment horizontal="left"/>
    </xf>
    <xf numFmtId="3" fontId="1" fillId="0" borderId="26" xfId="0" applyNumberFormat="1" applyFont="1" applyBorder="1"/>
    <xf numFmtId="3" fontId="0" fillId="0" borderId="11" xfId="0" applyNumberFormat="1" applyBorder="1" applyAlignment="1">
      <alignment horizontal="right"/>
    </xf>
    <xf numFmtId="3" fontId="0" fillId="0" borderId="54" xfId="0" applyNumberFormat="1" applyBorder="1" applyAlignment="1">
      <alignment horizontal="right"/>
    </xf>
    <xf numFmtId="0" fontId="10" fillId="0" borderId="0" xfId="0" applyFont="1" applyAlignment="1">
      <alignment horizontal="left" vertical="center" wrapText="1"/>
    </xf>
    <xf numFmtId="0" fontId="10" fillId="0" borderId="0" xfId="0" applyFont="1" applyAlignment="1">
      <alignment horizontal="left" vertical="center"/>
    </xf>
    <xf numFmtId="0" fontId="29" fillId="0" borderId="23" xfId="16" applyFont="1" applyBorder="1" applyAlignment="1">
      <alignment horizontal="left"/>
    </xf>
    <xf numFmtId="166" fontId="0" fillId="0" borderId="23" xfId="0" applyNumberFormat="1" applyBorder="1"/>
    <xf numFmtId="166" fontId="0" fillId="0" borderId="58" xfId="0" applyNumberFormat="1" applyBorder="1"/>
    <xf numFmtId="166" fontId="1" fillId="0" borderId="26" xfId="2" applyNumberFormat="1" applyFont="1" applyFill="1" applyBorder="1"/>
    <xf numFmtId="166" fontId="1" fillId="0" borderId="50" xfId="2" applyNumberFormat="1" applyFont="1" applyFill="1" applyBorder="1"/>
    <xf numFmtId="166" fontId="5" fillId="0" borderId="2" xfId="0" applyNumberFormat="1" applyFont="1" applyBorder="1"/>
    <xf numFmtId="166" fontId="5" fillId="0" borderId="44" xfId="0" applyNumberFormat="1" applyFont="1" applyBorder="1"/>
    <xf numFmtId="0" fontId="29" fillId="0" borderId="13" xfId="0" applyFont="1" applyBorder="1" applyAlignment="1">
      <alignment horizontal="left"/>
    </xf>
    <xf numFmtId="0" fontId="5" fillId="0" borderId="13" xfId="2" applyNumberFormat="1" applyFont="1" applyFill="1" applyBorder="1"/>
    <xf numFmtId="0" fontId="5" fillId="0" borderId="14" xfId="2" applyNumberFormat="1" applyFont="1" applyFill="1" applyBorder="1"/>
    <xf numFmtId="0" fontId="29" fillId="0" borderId="26" xfId="0" applyFont="1" applyBorder="1" applyAlignment="1">
      <alignment horizontal="left"/>
    </xf>
    <xf numFmtId="166" fontId="5" fillId="0" borderId="26" xfId="0" applyNumberFormat="1" applyFont="1" applyBorder="1"/>
    <xf numFmtId="166" fontId="5" fillId="0" borderId="50" xfId="0" applyNumberFormat="1" applyFont="1" applyBorder="1"/>
    <xf numFmtId="0" fontId="1" fillId="0" borderId="4" xfId="2" applyNumberFormat="1" applyFont="1" applyFill="1" applyBorder="1"/>
    <xf numFmtId="177" fontId="1" fillId="0" borderId="26" xfId="2" applyNumberFormat="1" applyFont="1" applyFill="1" applyBorder="1"/>
    <xf numFmtId="177" fontId="1" fillId="0" borderId="38" xfId="2" applyNumberFormat="1" applyFont="1" applyFill="1" applyBorder="1"/>
    <xf numFmtId="2" fontId="19" fillId="0" borderId="0" xfId="0" applyNumberFormat="1" applyFont="1"/>
    <xf numFmtId="166" fontId="19" fillId="0" borderId="0" xfId="0" applyNumberFormat="1" applyFont="1"/>
    <xf numFmtId="167" fontId="5" fillId="0" borderId="41" xfId="0" applyNumberFormat="1" applyFont="1" applyBorder="1"/>
    <xf numFmtId="164" fontId="5" fillId="0" borderId="36" xfId="0" applyNumberFormat="1" applyFont="1" applyBorder="1"/>
    <xf numFmtId="164" fontId="5" fillId="0" borderId="62" xfId="0" applyNumberFormat="1" applyFont="1" applyBorder="1"/>
    <xf numFmtId="167" fontId="5" fillId="0" borderId="6" xfId="0" applyNumberFormat="1" applyFont="1" applyBorder="1"/>
    <xf numFmtId="164" fontId="5" fillId="0" borderId="4" xfId="0" applyNumberFormat="1" applyFont="1" applyBorder="1"/>
    <xf numFmtId="164" fontId="5" fillId="0" borderId="60" xfId="0" applyNumberFormat="1" applyFont="1" applyBorder="1"/>
    <xf numFmtId="167" fontId="5" fillId="0" borderId="25" xfId="0" applyNumberFormat="1" applyFont="1" applyBorder="1"/>
    <xf numFmtId="164" fontId="5" fillId="0" borderId="38" xfId="0" applyNumberFormat="1" applyFont="1" applyBorder="1"/>
    <xf numFmtId="164" fontId="5" fillId="0" borderId="84" xfId="0" applyNumberFormat="1" applyFont="1" applyBorder="1"/>
    <xf numFmtId="167" fontId="5" fillId="0" borderId="0" xfId="0" applyNumberFormat="1" applyFont="1"/>
    <xf numFmtId="164" fontId="5" fillId="0" borderId="0" xfId="0" applyNumberFormat="1" applyFont="1"/>
    <xf numFmtId="178" fontId="1" fillId="0" borderId="35" xfId="2" applyNumberFormat="1" applyFont="1" applyFill="1" applyBorder="1"/>
    <xf numFmtId="178" fontId="1" fillId="0" borderId="2" xfId="2" applyNumberFormat="1" applyFont="1" applyFill="1" applyBorder="1"/>
    <xf numFmtId="178" fontId="1" fillId="0" borderId="26" xfId="2" applyNumberFormat="1" applyFont="1" applyFill="1" applyBorder="1"/>
    <xf numFmtId="178" fontId="1" fillId="0" borderId="13" xfId="2" applyNumberFormat="1" applyFont="1" applyFill="1" applyBorder="1"/>
    <xf numFmtId="177" fontId="1" fillId="0" borderId="13" xfId="2" applyNumberFormat="1" applyFont="1" applyFill="1" applyBorder="1"/>
    <xf numFmtId="178" fontId="1" fillId="0" borderId="23" xfId="2" applyNumberFormat="1" applyFont="1" applyFill="1" applyBorder="1"/>
    <xf numFmtId="177" fontId="1" fillId="0" borderId="23" xfId="2" applyNumberFormat="1" applyFont="1" applyFill="1" applyBorder="1"/>
    <xf numFmtId="177" fontId="1" fillId="0" borderId="6" xfId="2" applyNumberFormat="1" applyFont="1" applyFill="1" applyBorder="1"/>
    <xf numFmtId="178" fontId="1" fillId="0" borderId="21" xfId="2" applyNumberFormat="1" applyFont="1" applyFill="1" applyBorder="1"/>
    <xf numFmtId="177" fontId="1" fillId="0" borderId="11" xfId="2" applyNumberFormat="1" applyFont="1" applyFill="1" applyBorder="1"/>
    <xf numFmtId="0" fontId="10" fillId="2" borderId="0" xfId="0" applyFont="1" applyFill="1" applyAlignment="1">
      <alignment horizontal="left"/>
    </xf>
    <xf numFmtId="0" fontId="1" fillId="0" borderId="1" xfId="0" applyFont="1" applyBorder="1" applyAlignment="1">
      <alignment wrapText="1"/>
    </xf>
    <xf numFmtId="177" fontId="1" fillId="0" borderId="35" xfId="2" applyNumberFormat="1" applyFont="1" applyFill="1" applyBorder="1"/>
    <xf numFmtId="179" fontId="1" fillId="0" borderId="26" xfId="2" quotePrefix="1" applyNumberFormat="1" applyFont="1" applyFill="1" applyBorder="1" applyAlignment="1">
      <alignment horizontal="right"/>
    </xf>
    <xf numFmtId="167" fontId="1" fillId="5" borderId="21" xfId="0" applyNumberFormat="1" applyFont="1" applyFill="1" applyBorder="1" applyProtection="1">
      <protection locked="0"/>
    </xf>
    <xf numFmtId="0" fontId="0" fillId="5" borderId="40" xfId="0" applyFill="1" applyBorder="1" applyAlignment="1" applyProtection="1">
      <alignment wrapText="1"/>
      <protection locked="0"/>
    </xf>
    <xf numFmtId="0" fontId="0" fillId="5" borderId="6" xfId="0" applyFill="1" applyBorder="1" applyAlignment="1" applyProtection="1">
      <alignment wrapText="1"/>
      <protection locked="0"/>
    </xf>
    <xf numFmtId="0" fontId="5" fillId="5" borderId="4" xfId="0" applyFont="1" applyFill="1" applyBorder="1" applyAlignment="1" applyProtection="1">
      <alignment wrapText="1"/>
      <protection locked="0"/>
    </xf>
    <xf numFmtId="0" fontId="20" fillId="7" borderId="5" xfId="0" applyFont="1" applyFill="1" applyBorder="1" applyAlignment="1">
      <alignment wrapText="1" readingOrder="1"/>
    </xf>
    <xf numFmtId="0" fontId="20" fillId="7" borderId="6" xfId="0" applyFont="1" applyFill="1" applyBorder="1" applyAlignment="1">
      <alignment wrapText="1" readingOrder="1"/>
    </xf>
    <xf numFmtId="0" fontId="20" fillId="7" borderId="85" xfId="0" applyFont="1" applyFill="1" applyBorder="1" applyAlignment="1">
      <alignment horizontal="left" vertical="center" wrapText="1"/>
    </xf>
    <xf numFmtId="0" fontId="20" fillId="7" borderId="34" xfId="0" applyFont="1" applyFill="1" applyBorder="1" applyAlignment="1">
      <alignment horizontal="left" vertical="center" wrapText="1"/>
    </xf>
    <xf numFmtId="0" fontId="33" fillId="7" borderId="0" xfId="8" applyFont="1" applyFill="1" applyBorder="1" applyAlignment="1" applyProtection="1">
      <alignment horizontal="left" vertical="center" wrapText="1"/>
    </xf>
    <xf numFmtId="0" fontId="33" fillId="7" borderId="48" xfId="8" applyFont="1" applyFill="1" applyBorder="1" applyAlignment="1" applyProtection="1">
      <alignment horizontal="left" vertical="center" wrapText="1"/>
    </xf>
    <xf numFmtId="0" fontId="20" fillId="7" borderId="45" xfId="0" quotePrefix="1" applyFont="1" applyFill="1" applyBorder="1" applyAlignment="1">
      <alignment horizontal="left" vertical="center" wrapText="1"/>
    </xf>
    <xf numFmtId="0" fontId="20" fillId="7" borderId="0" xfId="0" quotePrefix="1" applyFont="1" applyFill="1" applyAlignment="1">
      <alignment horizontal="left" vertical="center" wrapText="1"/>
    </xf>
    <xf numFmtId="0" fontId="20" fillId="7" borderId="48" xfId="0" quotePrefix="1" applyFont="1" applyFill="1" applyBorder="1" applyAlignment="1">
      <alignment horizontal="left" vertical="center" wrapText="1"/>
    </xf>
    <xf numFmtId="0" fontId="5" fillId="7" borderId="58" xfId="0" applyFont="1" applyFill="1" applyBorder="1" applyAlignment="1">
      <alignment horizontal="left" vertical="center" wrapText="1"/>
    </xf>
    <xf numFmtId="0" fontId="5" fillId="7" borderId="85" xfId="0" applyFont="1" applyFill="1" applyBorder="1" applyAlignment="1">
      <alignment horizontal="left" vertical="center" wrapText="1"/>
    </xf>
    <xf numFmtId="0" fontId="5" fillId="7" borderId="34" xfId="0" applyFont="1" applyFill="1" applyBorder="1" applyAlignment="1">
      <alignment horizontal="left" vertical="center" wrapText="1"/>
    </xf>
    <xf numFmtId="0" fontId="57" fillId="7" borderId="85" xfId="0" applyFont="1" applyFill="1" applyBorder="1" applyAlignment="1">
      <alignment horizontal="left" vertical="top" wrapText="1"/>
    </xf>
    <xf numFmtId="0" fontId="57" fillId="7" borderId="34" xfId="0" applyFont="1" applyFill="1" applyBorder="1" applyAlignment="1">
      <alignment horizontal="left" vertical="top" wrapText="1"/>
    </xf>
    <xf numFmtId="0" fontId="5" fillId="7" borderId="55" xfId="0" applyFont="1" applyFill="1" applyBorder="1" applyAlignment="1">
      <alignment horizontal="left" vertical="center" wrapText="1"/>
    </xf>
    <xf numFmtId="0" fontId="5" fillId="7" borderId="59" xfId="0" applyFont="1" applyFill="1" applyBorder="1" applyAlignment="1">
      <alignment horizontal="left" vertical="center" wrapText="1"/>
    </xf>
    <xf numFmtId="0" fontId="5" fillId="7" borderId="40" xfId="0" applyFont="1" applyFill="1" applyBorder="1" applyAlignment="1">
      <alignment horizontal="left" vertical="center" wrapText="1"/>
    </xf>
    <xf numFmtId="0" fontId="2" fillId="7" borderId="0" xfId="8" applyFill="1" applyBorder="1" applyAlignment="1" applyProtection="1">
      <alignment horizontal="left" vertical="center" wrapText="1"/>
    </xf>
    <xf numFmtId="0" fontId="2" fillId="7" borderId="48" xfId="8" applyFill="1" applyBorder="1" applyAlignment="1" applyProtection="1">
      <alignment horizontal="left" vertical="center" wrapText="1"/>
    </xf>
    <xf numFmtId="0" fontId="43" fillId="19" borderId="4" xfId="0" applyFont="1" applyFill="1" applyBorder="1" applyAlignment="1">
      <alignment horizontal="left" vertical="center"/>
    </xf>
    <xf numFmtId="0" fontId="43" fillId="19" borderId="5" xfId="0" applyFont="1" applyFill="1" applyBorder="1" applyAlignment="1">
      <alignment horizontal="left" vertical="center"/>
    </xf>
    <xf numFmtId="0" fontId="43" fillId="19" borderId="6" xfId="0" applyFont="1" applyFill="1" applyBorder="1" applyAlignment="1">
      <alignment horizontal="left" vertical="center"/>
    </xf>
    <xf numFmtId="0" fontId="2" fillId="7" borderId="59" xfId="8" applyFill="1" applyBorder="1" applyAlignment="1" applyProtection="1">
      <alignment horizontal="left"/>
    </xf>
    <xf numFmtId="0" fontId="2" fillId="7" borderId="40" xfId="8" applyFill="1" applyBorder="1" applyAlignment="1" applyProtection="1">
      <alignment horizontal="left"/>
    </xf>
    <xf numFmtId="0" fontId="10" fillId="7" borderId="0" xfId="0" applyFont="1" applyFill="1" applyAlignment="1">
      <alignment horizontal="left" wrapText="1"/>
    </xf>
    <xf numFmtId="0" fontId="5" fillId="7" borderId="45" xfId="0" applyFont="1" applyFill="1" applyBorder="1" applyAlignment="1">
      <alignment horizontal="left" vertical="center" wrapText="1"/>
    </xf>
    <xf numFmtId="0" fontId="5" fillId="7" borderId="0" xfId="0" applyFont="1" applyFill="1" applyAlignment="1">
      <alignment horizontal="left" vertical="center" wrapText="1"/>
    </xf>
    <xf numFmtId="0" fontId="5" fillId="7" borderId="48" xfId="0" applyFont="1" applyFill="1" applyBorder="1" applyAlignment="1">
      <alignment horizontal="left" vertical="center" wrapText="1"/>
    </xf>
    <xf numFmtId="0" fontId="20" fillId="7" borderId="0" xfId="0" applyFont="1" applyFill="1" applyAlignment="1">
      <alignment horizontal="left" vertical="center" wrapText="1"/>
    </xf>
    <xf numFmtId="0" fontId="20" fillId="7" borderId="48" xfId="0" applyFont="1" applyFill="1" applyBorder="1" applyAlignment="1">
      <alignment horizontal="left" vertical="center" wrapText="1"/>
    </xf>
    <xf numFmtId="0" fontId="20" fillId="14" borderId="0" xfId="0" applyFont="1" applyFill="1" applyAlignment="1" applyProtection="1">
      <alignment horizontal="center"/>
      <protection locked="0"/>
    </xf>
    <xf numFmtId="0" fontId="54" fillId="11" borderId="28" xfId="0" applyFont="1" applyFill="1" applyBorder="1" applyAlignment="1">
      <alignment horizontal="center"/>
    </xf>
    <xf numFmtId="0" fontId="54" fillId="11" borderId="29" xfId="0" applyFont="1" applyFill="1" applyBorder="1" applyAlignment="1">
      <alignment horizontal="center"/>
    </xf>
    <xf numFmtId="0" fontId="54" fillId="11" borderId="73" xfId="0" applyFont="1" applyFill="1" applyBorder="1" applyAlignment="1">
      <alignment horizontal="center"/>
    </xf>
    <xf numFmtId="0" fontId="20" fillId="7" borderId="59" xfId="0" applyFont="1" applyFill="1" applyBorder="1" applyAlignment="1">
      <alignment horizontal="left" vertical="center" wrapText="1"/>
    </xf>
    <xf numFmtId="0" fontId="20" fillId="7" borderId="40" xfId="0" applyFont="1" applyFill="1" applyBorder="1" applyAlignment="1">
      <alignment horizontal="left" vertical="center" wrapText="1"/>
    </xf>
    <xf numFmtId="0" fontId="20" fillId="7" borderId="58" xfId="0" quotePrefix="1" applyFont="1" applyFill="1" applyBorder="1" applyAlignment="1">
      <alignment horizontal="left" vertical="center" wrapText="1"/>
    </xf>
    <xf numFmtId="0" fontId="20" fillId="7" borderId="85" xfId="0" quotePrefix="1" applyFont="1" applyFill="1" applyBorder="1" applyAlignment="1">
      <alignment horizontal="left" vertical="center" wrapText="1"/>
    </xf>
    <xf numFmtId="0" fontId="20" fillId="7" borderId="34" xfId="0" quotePrefix="1" applyFont="1" applyFill="1" applyBorder="1" applyAlignment="1">
      <alignment horizontal="left" vertical="center" wrapText="1"/>
    </xf>
    <xf numFmtId="0" fontId="20" fillId="0" borderId="21" xfId="0" applyFont="1" applyBorder="1" applyAlignment="1">
      <alignment horizontal="left" vertical="center" wrapText="1"/>
    </xf>
    <xf numFmtId="0" fontId="20" fillId="7" borderId="0" xfId="0" applyFont="1" applyFill="1" applyAlignment="1">
      <alignment horizontal="left" vertical="top" wrapText="1"/>
    </xf>
    <xf numFmtId="0" fontId="20" fillId="7" borderId="59" xfId="0" applyFont="1" applyFill="1" applyBorder="1" applyAlignment="1">
      <alignment horizontal="left" vertical="top" wrapText="1"/>
    </xf>
    <xf numFmtId="0" fontId="20" fillId="0" borderId="0" xfId="0" applyFont="1" applyAlignment="1">
      <alignment horizontal="left" vertical="top" wrapText="1"/>
    </xf>
    <xf numFmtId="0" fontId="36" fillId="7" borderId="0" xfId="0" applyFont="1" applyFill="1" applyAlignment="1">
      <alignment horizontal="left" vertical="center" wrapText="1" indent="2"/>
    </xf>
    <xf numFmtId="0" fontId="20" fillId="0" borderId="49" xfId="0" applyFont="1" applyBorder="1" applyAlignment="1">
      <alignment horizontal="left" vertical="center" wrapText="1"/>
    </xf>
    <xf numFmtId="0" fontId="20" fillId="0" borderId="19" xfId="0" applyFont="1" applyBorder="1" applyAlignment="1">
      <alignment horizontal="left" vertical="center" wrapText="1"/>
    </xf>
    <xf numFmtId="0" fontId="20" fillId="0" borderId="31" xfId="0" applyFont="1" applyBorder="1" applyAlignment="1">
      <alignment horizontal="left" vertical="center" wrapText="1"/>
    </xf>
    <xf numFmtId="0" fontId="20" fillId="0" borderId="72" xfId="0" applyFont="1" applyBorder="1" applyAlignment="1">
      <alignment horizontal="left" vertical="center" wrapText="1"/>
    </xf>
    <xf numFmtId="0" fontId="20" fillId="0" borderId="29" xfId="0" applyFont="1" applyBorder="1" applyAlignment="1">
      <alignment horizontal="left" vertical="center" wrapText="1"/>
    </xf>
    <xf numFmtId="0" fontId="20" fillId="0" borderId="56" xfId="0" applyFont="1" applyBorder="1" applyAlignment="1">
      <alignment horizontal="left" vertical="center" wrapText="1"/>
    </xf>
    <xf numFmtId="0" fontId="20" fillId="7" borderId="0" xfId="0" quotePrefix="1" applyFont="1" applyFill="1" applyAlignment="1">
      <alignment horizontal="left" vertical="center"/>
    </xf>
    <xf numFmtId="0" fontId="20" fillId="7" borderId="85" xfId="0" quotePrefix="1" applyFont="1" applyFill="1" applyBorder="1" applyAlignment="1">
      <alignment vertical="center" wrapText="1"/>
    </xf>
    <xf numFmtId="0" fontId="20" fillId="13" borderId="4" xfId="0" applyFont="1" applyFill="1" applyBorder="1" applyAlignment="1" applyProtection="1">
      <alignment horizontal="left"/>
      <protection locked="0"/>
    </xf>
    <xf numFmtId="0" fontId="20" fillId="13" borderId="5" xfId="0" applyFont="1" applyFill="1" applyBorder="1" applyAlignment="1" applyProtection="1">
      <alignment horizontal="left"/>
      <protection locked="0"/>
    </xf>
    <xf numFmtId="0" fontId="20" fillId="13" borderId="6" xfId="0" applyFont="1" applyFill="1" applyBorder="1" applyAlignment="1" applyProtection="1">
      <alignment horizontal="left"/>
      <protection locked="0"/>
    </xf>
    <xf numFmtId="0" fontId="20" fillId="13" borderId="55" xfId="0" applyFont="1" applyFill="1" applyBorder="1" applyAlignment="1" applyProtection="1">
      <alignment horizontal="left"/>
      <protection locked="0"/>
    </xf>
    <xf numFmtId="0" fontId="20" fillId="13" borderId="59" xfId="0" applyFont="1" applyFill="1" applyBorder="1" applyAlignment="1" applyProtection="1">
      <alignment horizontal="left"/>
      <protection locked="0"/>
    </xf>
    <xf numFmtId="0" fontId="20" fillId="13" borderId="40" xfId="0" applyFont="1" applyFill="1" applyBorder="1" applyAlignment="1" applyProtection="1">
      <alignment horizontal="left"/>
      <protection locked="0"/>
    </xf>
    <xf numFmtId="0" fontId="20" fillId="13" borderId="58" xfId="0" applyFont="1" applyFill="1" applyBorder="1" applyAlignment="1" applyProtection="1">
      <alignment horizontal="left"/>
      <protection locked="0"/>
    </xf>
    <xf numFmtId="0" fontId="20" fillId="13" borderId="85" xfId="0" applyFont="1" applyFill="1" applyBorder="1" applyAlignment="1" applyProtection="1">
      <alignment horizontal="left"/>
      <protection locked="0"/>
    </xf>
    <xf numFmtId="0" fontId="20" fillId="13" borderId="34" xfId="0" applyFont="1" applyFill="1" applyBorder="1" applyAlignment="1" applyProtection="1">
      <alignment horizontal="left"/>
      <protection locked="0"/>
    </xf>
    <xf numFmtId="0" fontId="56" fillId="13" borderId="4" xfId="0" applyFont="1" applyFill="1" applyBorder="1" applyAlignment="1" applyProtection="1">
      <alignment horizontal="left" vertical="center"/>
      <protection locked="0"/>
    </xf>
    <xf numFmtId="0" fontId="58" fillId="13" borderId="5" xfId="0" applyFont="1" applyFill="1" applyBorder="1" applyAlignment="1" applyProtection="1">
      <alignment horizontal="left" vertical="center"/>
      <protection locked="0"/>
    </xf>
    <xf numFmtId="0" fontId="58" fillId="13" borderId="6" xfId="0" applyFont="1" applyFill="1" applyBorder="1" applyAlignment="1" applyProtection="1">
      <alignment horizontal="left" vertical="center"/>
      <protection locked="0"/>
    </xf>
    <xf numFmtId="0" fontId="56" fillId="13" borderId="59" xfId="0" applyFont="1" applyFill="1" applyBorder="1" applyAlignment="1" applyProtection="1">
      <alignment horizontal="center" vertical="center"/>
      <protection locked="0"/>
    </xf>
    <xf numFmtId="0" fontId="56" fillId="13" borderId="40" xfId="0" applyFont="1" applyFill="1" applyBorder="1" applyAlignment="1" applyProtection="1">
      <alignment horizontal="center" vertical="center"/>
      <protection locked="0"/>
    </xf>
    <xf numFmtId="0" fontId="20" fillId="7" borderId="0" xfId="0" quotePrefix="1" applyFont="1" applyFill="1" applyAlignment="1">
      <alignment horizontal="left" wrapText="1"/>
    </xf>
    <xf numFmtId="0" fontId="20" fillId="7" borderId="59" xfId="0" quotePrefix="1" applyFont="1" applyFill="1" applyBorder="1" applyAlignment="1">
      <alignment horizontal="left" wrapText="1"/>
    </xf>
    <xf numFmtId="0" fontId="2" fillId="0" borderId="0" xfId="8" applyFill="1" applyBorder="1" applyAlignment="1" applyProtection="1">
      <alignment horizontal="center" vertical="top"/>
    </xf>
    <xf numFmtId="0" fontId="3" fillId="0" borderId="4" xfId="0" applyFont="1" applyBorder="1" applyAlignment="1">
      <alignment horizontal="center" vertical="top"/>
    </xf>
    <xf numFmtId="0" fontId="3" fillId="0" borderId="5" xfId="0" applyFont="1" applyBorder="1" applyAlignment="1">
      <alignment horizontal="center" vertical="top"/>
    </xf>
    <xf numFmtId="0" fontId="3" fillId="0" borderId="6" xfId="0" applyFont="1" applyBorder="1" applyAlignment="1">
      <alignment horizontal="center" vertical="top"/>
    </xf>
    <xf numFmtId="0" fontId="3" fillId="22" borderId="32" xfId="0" applyFont="1" applyFill="1" applyBorder="1" applyAlignment="1">
      <alignment horizontal="center" vertical="center"/>
    </xf>
    <xf numFmtId="0" fontId="3" fillId="22" borderId="64" xfId="0" applyFont="1" applyFill="1" applyBorder="1" applyAlignment="1">
      <alignment horizontal="center" vertical="center"/>
    </xf>
    <xf numFmtId="0" fontId="3" fillId="22" borderId="41" xfId="0" applyFont="1" applyFill="1" applyBorder="1" applyAlignment="1">
      <alignment horizontal="center" vertical="center"/>
    </xf>
    <xf numFmtId="0" fontId="3" fillId="0" borderId="2" xfId="0" applyFont="1" applyBorder="1" applyAlignment="1">
      <alignment horizontal="center" vertical="top"/>
    </xf>
    <xf numFmtId="0" fontId="3" fillId="3" borderId="9" xfId="0" applyFont="1" applyFill="1" applyBorder="1" applyAlignment="1">
      <alignment horizontal="center" vertical="top"/>
    </xf>
    <xf numFmtId="0" fontId="3" fillId="3" borderId="12" xfId="0" applyFont="1" applyFill="1" applyBorder="1" applyAlignment="1">
      <alignment horizontal="center" vertical="top"/>
    </xf>
    <xf numFmtId="0" fontId="5" fillId="7" borderId="0" xfId="0" quotePrefix="1" applyFont="1" applyFill="1" applyAlignment="1">
      <alignment horizontal="left" wrapText="1"/>
    </xf>
    <xf numFmtId="0" fontId="3" fillId="3" borderId="61" xfId="0" applyFont="1" applyFill="1" applyBorder="1" applyAlignment="1">
      <alignment horizontal="center"/>
    </xf>
    <xf numFmtId="0" fontId="3" fillId="12" borderId="30" xfId="0" applyFont="1" applyFill="1" applyBorder="1" applyAlignment="1">
      <alignment horizontal="center"/>
    </xf>
    <xf numFmtId="0" fontId="1" fillId="2" borderId="0" xfId="0" quotePrefix="1" applyFont="1" applyFill="1" applyAlignment="1">
      <alignment horizontal="left" wrapText="1" indent="4"/>
    </xf>
    <xf numFmtId="0" fontId="5" fillId="2" borderId="0" xfId="0" quotePrefix="1" applyFont="1" applyFill="1" applyAlignment="1">
      <alignment horizontal="left" wrapText="1" indent="4"/>
    </xf>
    <xf numFmtId="0" fontId="5" fillId="7" borderId="0" xfId="0" applyFont="1" applyFill="1" applyAlignment="1">
      <alignment horizontal="left" wrapText="1"/>
    </xf>
    <xf numFmtId="0" fontId="0" fillId="0" borderId="0" xfId="0" applyAlignment="1">
      <alignment wrapText="1"/>
    </xf>
    <xf numFmtId="0" fontId="3" fillId="3" borderId="15" xfId="0" applyFont="1" applyFill="1" applyBorder="1" applyAlignment="1">
      <alignment horizontal="center" vertical="top"/>
    </xf>
    <xf numFmtId="0" fontId="3" fillId="3" borderId="53" xfId="0" applyFont="1" applyFill="1" applyBorder="1" applyAlignment="1">
      <alignment horizontal="center" vertical="top"/>
    </xf>
    <xf numFmtId="0" fontId="3" fillId="3" borderId="18" xfId="0" applyFont="1" applyFill="1" applyBorder="1" applyAlignment="1">
      <alignment horizontal="center" vertical="top"/>
    </xf>
    <xf numFmtId="0" fontId="3" fillId="3" borderId="31" xfId="0" applyFont="1" applyFill="1" applyBorder="1" applyAlignment="1">
      <alignment horizontal="center" vertical="top"/>
    </xf>
    <xf numFmtId="0" fontId="1" fillId="2" borderId="7" xfId="0" applyFont="1" applyFill="1" applyBorder="1" applyAlignment="1">
      <alignment horizontal="left" vertical="center"/>
    </xf>
    <xf numFmtId="0" fontId="1" fillId="2" borderId="20" xfId="0" applyFont="1" applyFill="1" applyBorder="1" applyAlignment="1">
      <alignment horizontal="left" vertical="center"/>
    </xf>
    <xf numFmtId="0" fontId="1" fillId="2" borderId="10" xfId="0" applyFont="1" applyFill="1" applyBorder="1" applyAlignment="1">
      <alignment horizontal="left" vertical="center"/>
    </xf>
    <xf numFmtId="0" fontId="3" fillId="3" borderId="8"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4" xfId="0" applyFont="1" applyFill="1" applyBorder="1" applyAlignment="1">
      <alignment horizontal="center" wrapText="1"/>
    </xf>
    <xf numFmtId="0" fontId="3" fillId="3" borderId="6" xfId="0" applyFont="1" applyFill="1" applyBorder="1" applyAlignment="1">
      <alignment horizontal="center" wrapText="1"/>
    </xf>
    <xf numFmtId="0" fontId="3" fillId="3" borderId="16" xfId="0" applyFont="1" applyFill="1" applyBorder="1" applyAlignment="1">
      <alignment horizontal="center" vertical="top"/>
    </xf>
    <xf numFmtId="0" fontId="3" fillId="3" borderId="19" xfId="0" applyFont="1" applyFill="1" applyBorder="1" applyAlignment="1">
      <alignment horizontal="center" vertical="top"/>
    </xf>
    <xf numFmtId="0" fontId="3" fillId="3" borderId="58" xfId="0" applyFont="1" applyFill="1" applyBorder="1" applyAlignment="1">
      <alignment horizontal="center"/>
    </xf>
    <xf numFmtId="0" fontId="3" fillId="3" borderId="85" xfId="0" applyFont="1" applyFill="1" applyBorder="1" applyAlignment="1">
      <alignment horizontal="center"/>
    </xf>
    <xf numFmtId="0" fontId="3" fillId="3" borderId="34" xfId="0" applyFont="1" applyFill="1" applyBorder="1" applyAlignment="1">
      <alignment horizontal="center"/>
    </xf>
    <xf numFmtId="0" fontId="1" fillId="2" borderId="15" xfId="0" applyFont="1" applyFill="1" applyBorder="1" applyAlignment="1">
      <alignment horizontal="left" vertical="center"/>
    </xf>
    <xf numFmtId="0" fontId="1" fillId="2" borderId="18" xfId="0" applyFont="1" applyFill="1" applyBorder="1" applyAlignment="1">
      <alignment horizontal="left" vertical="center"/>
    </xf>
    <xf numFmtId="0" fontId="1" fillId="2" borderId="8" xfId="0" applyFont="1" applyFill="1" applyBorder="1" applyAlignment="1">
      <alignment horizontal="left" vertical="center"/>
    </xf>
    <xf numFmtId="0" fontId="1" fillId="2" borderId="11" xfId="0" applyFont="1" applyFill="1" applyBorder="1" applyAlignment="1">
      <alignment horizontal="left" vertical="center"/>
    </xf>
    <xf numFmtId="0" fontId="3" fillId="3" borderId="8" xfId="0" applyFont="1" applyFill="1" applyBorder="1" applyAlignment="1">
      <alignment horizontal="center" vertical="top"/>
    </xf>
    <xf numFmtId="0" fontId="3" fillId="3" borderId="11" xfId="0" applyFont="1" applyFill="1" applyBorder="1" applyAlignment="1">
      <alignment horizontal="center" vertical="top"/>
    </xf>
    <xf numFmtId="0" fontId="1" fillId="2" borderId="37" xfId="0" applyFont="1" applyFill="1" applyBorder="1" applyAlignment="1">
      <alignment horizontal="left" vertical="center"/>
    </xf>
    <xf numFmtId="0" fontId="1" fillId="2" borderId="13" xfId="0" applyFont="1" applyFill="1" applyBorder="1" applyAlignment="1">
      <alignment horizontal="left" vertical="center"/>
    </xf>
    <xf numFmtId="0" fontId="1" fillId="7" borderId="0" xfId="0" quotePrefix="1" applyFont="1" applyFill="1" applyAlignment="1">
      <alignment horizontal="left" wrapText="1" indent="1"/>
    </xf>
    <xf numFmtId="0" fontId="5" fillId="7" borderId="0" xfId="0" quotePrefix="1" applyFont="1" applyFill="1" applyAlignment="1">
      <alignment horizontal="left" wrapText="1" indent="1"/>
    </xf>
    <xf numFmtId="0" fontId="1" fillId="7" borderId="0" xfId="0" quotePrefix="1" applyFont="1" applyFill="1" applyAlignment="1">
      <alignment horizontal="left" wrapText="1"/>
    </xf>
    <xf numFmtId="0" fontId="10" fillId="7" borderId="0" xfId="0" quotePrefix="1" applyFont="1" applyFill="1" applyAlignment="1">
      <alignment horizontal="left" wrapText="1"/>
    </xf>
    <xf numFmtId="0" fontId="3" fillId="4" borderId="15" xfId="0" applyFont="1" applyFill="1" applyBorder="1" applyAlignment="1">
      <alignment horizontal="left" wrapText="1"/>
    </xf>
    <xf numFmtId="0" fontId="3" fillId="4" borderId="16" xfId="0" applyFont="1" applyFill="1" applyBorder="1" applyAlignment="1">
      <alignment horizontal="left" wrapText="1"/>
    </xf>
    <xf numFmtId="0" fontId="3" fillId="4" borderId="18" xfId="0" applyFont="1" applyFill="1" applyBorder="1" applyAlignment="1">
      <alignment horizontal="left" wrapText="1"/>
    </xf>
    <xf numFmtId="0" fontId="3" fillId="4" borderId="19" xfId="0" applyFont="1" applyFill="1" applyBorder="1" applyAlignment="1">
      <alignment horizontal="left" wrapText="1"/>
    </xf>
    <xf numFmtId="0" fontId="3" fillId="3" borderId="36" xfId="0" applyFont="1" applyFill="1" applyBorder="1" applyAlignment="1">
      <alignment horizontal="center"/>
    </xf>
    <xf numFmtId="0" fontId="3" fillId="3" borderId="41" xfId="0" applyFont="1" applyFill="1" applyBorder="1" applyAlignment="1">
      <alignment horizontal="center"/>
    </xf>
    <xf numFmtId="0" fontId="3" fillId="3" borderId="7" xfId="0" applyFont="1" applyFill="1" applyBorder="1" applyAlignment="1">
      <alignment horizontal="center" vertical="top"/>
    </xf>
    <xf numFmtId="0" fontId="3" fillId="3" borderId="20" xfId="0" applyFont="1" applyFill="1" applyBorder="1" applyAlignment="1">
      <alignment horizontal="center" vertical="top"/>
    </xf>
    <xf numFmtId="0" fontId="3" fillId="3" borderId="10" xfId="0" applyFont="1" applyFill="1" applyBorder="1" applyAlignment="1">
      <alignment horizontal="center" vertical="top"/>
    </xf>
    <xf numFmtId="0" fontId="3" fillId="3" borderId="13" xfId="0" applyFont="1" applyFill="1" applyBorder="1" applyAlignment="1">
      <alignment horizontal="center" vertical="top"/>
    </xf>
    <xf numFmtId="0" fontId="3" fillId="12" borderId="8" xfId="0" applyFont="1" applyFill="1" applyBorder="1" applyAlignment="1">
      <alignment horizontal="center" vertical="top" wrapText="1"/>
    </xf>
    <xf numFmtId="0" fontId="19" fillId="7" borderId="0" xfId="0" applyFont="1" applyFill="1" applyAlignment="1">
      <alignment horizontal="left" vertical="center" wrapText="1"/>
    </xf>
    <xf numFmtId="0" fontId="10" fillId="7" borderId="0" xfId="0" quotePrefix="1" applyFont="1" applyFill="1" applyAlignment="1">
      <alignment horizontal="left" vertical="top" wrapText="1"/>
    </xf>
    <xf numFmtId="0" fontId="3" fillId="17" borderId="32" xfId="0" applyFont="1" applyFill="1" applyBorder="1" applyAlignment="1">
      <alignment horizontal="center" vertical="center"/>
    </xf>
    <xf numFmtId="0" fontId="3" fillId="17" borderId="64" xfId="0" applyFont="1" applyFill="1" applyBorder="1" applyAlignment="1">
      <alignment horizontal="center" vertical="center"/>
    </xf>
    <xf numFmtId="0" fontId="3" fillId="17" borderId="62" xfId="0" applyFont="1" applyFill="1" applyBorder="1" applyAlignment="1">
      <alignment horizontal="center" vertical="center"/>
    </xf>
    <xf numFmtId="0" fontId="3" fillId="16" borderId="33" xfId="0" applyFont="1" applyFill="1" applyBorder="1" applyAlignment="1">
      <alignment horizontal="center"/>
    </xf>
    <xf numFmtId="0" fontId="3" fillId="16" borderId="5" xfId="0" applyFont="1" applyFill="1" applyBorder="1" applyAlignment="1">
      <alignment horizontal="center"/>
    </xf>
    <xf numFmtId="0" fontId="3" fillId="16" borderId="6" xfId="0" applyFont="1" applyFill="1" applyBorder="1" applyAlignment="1">
      <alignment horizontal="center"/>
    </xf>
    <xf numFmtId="0" fontId="3" fillId="16" borderId="4" xfId="0" applyFont="1" applyFill="1" applyBorder="1" applyAlignment="1">
      <alignment horizontal="center"/>
    </xf>
    <xf numFmtId="0" fontId="3" fillId="17" borderId="33" xfId="0" applyFont="1" applyFill="1" applyBorder="1" applyAlignment="1">
      <alignment horizontal="center"/>
    </xf>
    <xf numFmtId="0" fontId="3" fillId="17" borderId="5" xfId="0" applyFont="1" applyFill="1" applyBorder="1" applyAlignment="1">
      <alignment horizontal="center"/>
    </xf>
    <xf numFmtId="0" fontId="3" fillId="17" borderId="60" xfId="0" applyFont="1" applyFill="1" applyBorder="1" applyAlignment="1">
      <alignment horizontal="center"/>
    </xf>
    <xf numFmtId="0" fontId="3" fillId="16" borderId="32" xfId="0" applyFont="1" applyFill="1" applyBorder="1" applyAlignment="1">
      <alignment horizontal="center" wrapText="1"/>
    </xf>
    <xf numFmtId="0" fontId="3" fillId="16" borderId="64" xfId="0" applyFont="1" applyFill="1" applyBorder="1" applyAlignment="1">
      <alignment horizontal="center"/>
    </xf>
    <xf numFmtId="0" fontId="3" fillId="16" borderId="58" xfId="0" applyFont="1" applyFill="1" applyBorder="1" applyAlignment="1">
      <alignment horizontal="center"/>
    </xf>
    <xf numFmtId="0" fontId="3" fillId="16" borderId="85" xfId="0" applyFont="1" applyFill="1" applyBorder="1" applyAlignment="1">
      <alignment horizontal="center"/>
    </xf>
    <xf numFmtId="0" fontId="3" fillId="16" borderId="94" xfId="0" applyFont="1" applyFill="1" applyBorder="1" applyAlignment="1">
      <alignment horizontal="center"/>
    </xf>
    <xf numFmtId="0" fontId="3" fillId="16" borderId="64" xfId="0" applyFont="1" applyFill="1" applyBorder="1" applyAlignment="1">
      <alignment horizontal="center" wrapText="1"/>
    </xf>
    <xf numFmtId="0" fontId="3" fillId="16" borderId="62" xfId="0" applyFont="1" applyFill="1" applyBorder="1" applyAlignment="1">
      <alignment horizontal="center" wrapText="1"/>
    </xf>
    <xf numFmtId="0" fontId="3" fillId="16" borderId="74" xfId="0" applyFont="1" applyFill="1" applyBorder="1" applyAlignment="1">
      <alignment horizontal="center"/>
    </xf>
    <xf numFmtId="0" fontId="3" fillId="16" borderId="34" xfId="0" applyFont="1" applyFill="1" applyBorder="1" applyAlignment="1">
      <alignment horizontal="center"/>
    </xf>
    <xf numFmtId="0" fontId="3" fillId="17" borderId="74" xfId="0" applyFont="1" applyFill="1" applyBorder="1" applyAlignment="1">
      <alignment horizontal="center"/>
    </xf>
    <xf numFmtId="0" fontId="3" fillId="17" borderId="85" xfId="0" applyFont="1" applyFill="1" applyBorder="1" applyAlignment="1">
      <alignment horizontal="center"/>
    </xf>
    <xf numFmtId="0" fontId="3" fillId="17" borderId="34" xfId="0" applyFont="1" applyFill="1" applyBorder="1" applyAlignment="1">
      <alignment horizontal="center"/>
    </xf>
    <xf numFmtId="0" fontId="3" fillId="17" borderId="58" xfId="0" applyFont="1" applyFill="1" applyBorder="1" applyAlignment="1">
      <alignment horizontal="center"/>
    </xf>
    <xf numFmtId="0" fontId="3" fillId="17" borderId="32" xfId="0" applyFont="1" applyFill="1" applyBorder="1" applyAlignment="1">
      <alignment horizontal="center" wrapText="1"/>
    </xf>
    <xf numFmtId="0" fontId="3" fillId="17" borderId="64" xfId="0" applyFont="1" applyFill="1" applyBorder="1" applyAlignment="1">
      <alignment horizontal="center" wrapText="1"/>
    </xf>
    <xf numFmtId="0" fontId="3" fillId="16" borderId="72" xfId="0" applyFont="1" applyFill="1" applyBorder="1" applyAlignment="1">
      <alignment horizontal="center" wrapText="1"/>
    </xf>
    <xf numFmtId="0" fontId="3" fillId="16" borderId="29" xfId="0" applyFont="1" applyFill="1" applyBorder="1" applyAlignment="1">
      <alignment horizontal="center" wrapText="1"/>
    </xf>
    <xf numFmtId="0" fontId="3" fillId="16" borderId="73" xfId="0" applyFont="1" applyFill="1" applyBorder="1" applyAlignment="1">
      <alignment horizontal="center" wrapText="1"/>
    </xf>
    <xf numFmtId="0" fontId="3" fillId="3" borderId="49" xfId="0" applyFont="1" applyFill="1" applyBorder="1" applyAlignment="1">
      <alignment horizontal="center"/>
    </xf>
    <xf numFmtId="0" fontId="3" fillId="3" borderId="31" xfId="0" applyFont="1" applyFill="1" applyBorder="1" applyAlignment="1">
      <alignment horizontal="center"/>
    </xf>
    <xf numFmtId="0" fontId="3" fillId="12" borderId="57" xfId="0" applyFont="1" applyFill="1" applyBorder="1" applyAlignment="1">
      <alignment horizontal="center" vertical="top"/>
    </xf>
    <xf numFmtId="0" fontId="3" fillId="12" borderId="7" xfId="0" applyFont="1" applyFill="1" applyBorder="1" applyAlignment="1">
      <alignment horizontal="center" vertical="top" wrapText="1"/>
    </xf>
    <xf numFmtId="0" fontId="3" fillId="17" borderId="28" xfId="0" applyFont="1" applyFill="1" applyBorder="1" applyAlignment="1">
      <alignment horizontal="center" wrapText="1"/>
    </xf>
    <xf numFmtId="0" fontId="3" fillId="17" borderId="29" xfId="0" applyFont="1" applyFill="1" applyBorder="1" applyAlignment="1">
      <alignment horizontal="center"/>
    </xf>
    <xf numFmtId="0" fontId="5" fillId="0" borderId="1" xfId="0" applyFont="1" applyBorder="1" applyAlignment="1">
      <alignment horizontal="left"/>
    </xf>
    <xf numFmtId="0" fontId="5" fillId="0" borderId="2" xfId="0" applyFont="1" applyBorder="1" applyAlignment="1">
      <alignment horizontal="left"/>
    </xf>
    <xf numFmtId="0" fontId="3" fillId="12" borderId="7" xfId="0" applyFont="1" applyFill="1" applyBorder="1" applyAlignment="1">
      <alignment horizontal="center"/>
    </xf>
    <xf numFmtId="0" fontId="3" fillId="12" borderId="8" xfId="0" applyFont="1" applyFill="1" applyBorder="1" applyAlignment="1">
      <alignment horizontal="center"/>
    </xf>
    <xf numFmtId="0" fontId="5" fillId="0" borderId="27" xfId="0" applyFont="1" applyBorder="1" applyAlignment="1">
      <alignment horizontal="left"/>
    </xf>
    <xf numFmtId="0" fontId="5" fillId="0" borderId="35" xfId="0" applyFont="1" applyBorder="1" applyAlignment="1">
      <alignment horizontal="left"/>
    </xf>
    <xf numFmtId="0" fontId="5" fillId="0" borderId="46" xfId="0" applyFont="1" applyBorder="1" applyAlignment="1">
      <alignment horizontal="left"/>
    </xf>
    <xf numFmtId="0" fontId="5" fillId="0" borderId="26" xfId="0" applyFont="1" applyBorder="1" applyAlignment="1">
      <alignment horizontal="left"/>
    </xf>
    <xf numFmtId="0" fontId="1" fillId="0" borderId="1" xfId="0" applyFont="1" applyBorder="1" applyAlignment="1">
      <alignment horizontal="left"/>
    </xf>
    <xf numFmtId="0" fontId="5" fillId="7" borderId="0" xfId="0" applyFont="1" applyFill="1" applyAlignment="1">
      <alignment horizontal="left" vertical="top" wrapText="1" indent="1"/>
    </xf>
    <xf numFmtId="0" fontId="1" fillId="7" borderId="0" xfId="0" applyFont="1" applyFill="1" applyAlignment="1">
      <alignment horizontal="left" vertical="top" wrapText="1" indent="1"/>
    </xf>
    <xf numFmtId="0" fontId="5" fillId="0" borderId="3" xfId="0" applyFont="1" applyBorder="1" applyAlignment="1">
      <alignment horizontal="left"/>
    </xf>
    <xf numFmtId="0" fontId="5" fillId="0" borderId="21" xfId="0" applyFont="1" applyBorder="1" applyAlignment="1">
      <alignment horizontal="left"/>
    </xf>
    <xf numFmtId="0" fontId="1" fillId="7" borderId="0" xfId="0" quotePrefix="1" applyFont="1" applyFill="1" applyAlignment="1">
      <alignment horizontal="left"/>
    </xf>
    <xf numFmtId="0" fontId="3" fillId="9" borderId="15" xfId="0" applyFont="1" applyFill="1" applyBorder="1" applyAlignment="1">
      <alignment horizontal="left" wrapText="1"/>
    </xf>
    <xf numFmtId="0" fontId="3" fillId="9" borderId="16" xfId="0" applyFont="1" applyFill="1" applyBorder="1" applyAlignment="1">
      <alignment horizontal="left" wrapText="1"/>
    </xf>
    <xf numFmtId="0" fontId="3" fillId="9" borderId="18" xfId="0" applyFont="1" applyFill="1" applyBorder="1" applyAlignment="1">
      <alignment horizontal="left" wrapText="1"/>
    </xf>
    <xf numFmtId="0" fontId="3" fillId="9" borderId="19" xfId="0" applyFont="1" applyFill="1" applyBorder="1" applyAlignment="1">
      <alignment horizontal="left" wrapText="1"/>
    </xf>
    <xf numFmtId="0" fontId="3" fillId="10" borderId="28" xfId="0" applyFont="1" applyFill="1" applyBorder="1" applyAlignment="1">
      <alignment horizontal="left"/>
    </xf>
    <xf numFmtId="0" fontId="3" fillId="10" borderId="29" xfId="0" applyFont="1" applyFill="1" applyBorder="1" applyAlignment="1">
      <alignment horizontal="left"/>
    </xf>
    <xf numFmtId="0" fontId="3" fillId="10" borderId="73" xfId="0" applyFont="1" applyFill="1" applyBorder="1" applyAlignment="1">
      <alignment horizontal="left"/>
    </xf>
    <xf numFmtId="0" fontId="1" fillId="7" borderId="2" xfId="0" applyFont="1" applyFill="1" applyBorder="1" applyAlignment="1">
      <alignment vertical="center" wrapText="1"/>
    </xf>
    <xf numFmtId="0" fontId="5" fillId="7" borderId="2" xfId="0" applyFont="1" applyFill="1" applyBorder="1" applyAlignment="1">
      <alignment vertical="center" wrapText="1"/>
    </xf>
    <xf numFmtId="0" fontId="1" fillId="0" borderId="23" xfId="0" applyFont="1" applyBorder="1" applyAlignment="1">
      <alignment horizontal="left" vertical="center" wrapText="1"/>
    </xf>
    <xf numFmtId="0" fontId="1" fillId="0" borderId="13" xfId="0" applyFont="1" applyBorder="1" applyAlignment="1">
      <alignment horizontal="left" vertical="center" wrapText="1"/>
    </xf>
    <xf numFmtId="0" fontId="1" fillId="0" borderId="21" xfId="0" applyFont="1" applyBorder="1" applyAlignment="1">
      <alignment horizontal="left" vertical="center" wrapText="1"/>
    </xf>
    <xf numFmtId="0" fontId="10" fillId="0" borderId="0" xfId="0" applyFont="1" applyAlignment="1">
      <alignment horizontal="left" vertical="center" wrapText="1"/>
    </xf>
    <xf numFmtId="0" fontId="5" fillId="7" borderId="1" xfId="0" applyFont="1" applyFill="1" applyBorder="1" applyAlignment="1">
      <alignment horizontal="left" wrapText="1"/>
    </xf>
    <xf numFmtId="0" fontId="5" fillId="7" borderId="2" xfId="0" applyFont="1" applyFill="1" applyBorder="1" applyAlignment="1">
      <alignment horizontal="left" wrapText="1"/>
    </xf>
    <xf numFmtId="0" fontId="5" fillId="7" borderId="44" xfId="0" applyFont="1" applyFill="1" applyBorder="1" applyAlignment="1">
      <alignment horizontal="left" wrapText="1"/>
    </xf>
    <xf numFmtId="0" fontId="61" fillId="0" borderId="3" xfId="0" applyFont="1" applyBorder="1" applyAlignment="1">
      <alignment horizontal="left" wrapText="1"/>
    </xf>
    <xf numFmtId="0" fontId="61" fillId="0" borderId="21" xfId="0" applyFont="1" applyBorder="1" applyAlignment="1">
      <alignment horizontal="left" wrapText="1"/>
    </xf>
    <xf numFmtId="0" fontId="61" fillId="0" borderId="43" xfId="0" applyFont="1" applyBorder="1" applyAlignment="1">
      <alignment horizontal="left" wrapText="1"/>
    </xf>
    <xf numFmtId="2" fontId="3" fillId="21" borderId="28" xfId="25" applyNumberFormat="1" applyFont="1" applyFill="1" applyBorder="1" applyAlignment="1">
      <alignment horizontal="center" vertical="center"/>
    </xf>
    <xf numFmtId="2" fontId="3" fillId="21" borderId="29" xfId="25" applyNumberFormat="1" applyFont="1" applyFill="1" applyBorder="1" applyAlignment="1">
      <alignment horizontal="center" vertical="center"/>
    </xf>
    <xf numFmtId="2" fontId="3" fillId="21" borderId="73" xfId="25" applyNumberFormat="1" applyFont="1" applyFill="1" applyBorder="1" applyAlignment="1">
      <alignment horizontal="center" vertical="center"/>
    </xf>
    <xf numFmtId="0" fontId="19" fillId="7" borderId="0" xfId="0" applyFont="1" applyFill="1" applyAlignment="1">
      <alignment horizontal="left" vertical="top" wrapText="1"/>
    </xf>
    <xf numFmtId="0" fontId="19" fillId="0" borderId="0" xfId="0" applyFont="1" applyAlignment="1">
      <alignment horizontal="left" vertical="center" wrapText="1"/>
    </xf>
    <xf numFmtId="0" fontId="3" fillId="3" borderId="54" xfId="0" applyFont="1" applyFill="1" applyBorder="1" applyAlignment="1">
      <alignment horizontal="center"/>
    </xf>
    <xf numFmtId="0" fontId="3" fillId="3" borderId="18" xfId="0" applyFont="1" applyFill="1" applyBorder="1" applyAlignment="1">
      <alignment horizontal="center"/>
    </xf>
    <xf numFmtId="0" fontId="3" fillId="3" borderId="19" xfId="0" applyFont="1" applyFill="1" applyBorder="1" applyAlignment="1">
      <alignment horizontal="center"/>
    </xf>
    <xf numFmtId="0" fontId="3" fillId="3" borderId="15" xfId="0" applyFont="1" applyFill="1" applyBorder="1" applyAlignment="1">
      <alignment horizontal="center"/>
    </xf>
    <xf numFmtId="0" fontId="3" fillId="3" borderId="16" xfId="0" applyFont="1" applyFill="1" applyBorder="1" applyAlignment="1">
      <alignment horizontal="center"/>
    </xf>
    <xf numFmtId="0" fontId="3" fillId="3" borderId="53" xfId="0" applyFont="1" applyFill="1" applyBorder="1" applyAlignment="1">
      <alignment horizontal="center"/>
    </xf>
    <xf numFmtId="0" fontId="0" fillId="0" borderId="4" xfId="0" applyBorder="1" applyAlignment="1">
      <alignment horizontal="left"/>
    </xf>
    <xf numFmtId="0" fontId="0" fillId="0" borderId="5" xfId="0" applyBorder="1" applyAlignment="1">
      <alignment horizontal="left"/>
    </xf>
    <xf numFmtId="0" fontId="0" fillId="0" borderId="60" xfId="0" applyBorder="1" applyAlignment="1">
      <alignment horizontal="left"/>
    </xf>
    <xf numFmtId="0" fontId="5" fillId="0" borderId="4" xfId="0" applyFont="1" applyBorder="1" applyAlignment="1">
      <alignment horizontal="left"/>
    </xf>
    <xf numFmtId="0" fontId="5" fillId="0" borderId="5" xfId="0" applyFont="1" applyBorder="1" applyAlignment="1">
      <alignment horizontal="left"/>
    </xf>
    <xf numFmtId="0" fontId="5" fillId="0" borderId="60" xfId="0" applyFont="1" applyBorder="1" applyAlignment="1">
      <alignment horizontal="left"/>
    </xf>
    <xf numFmtId="0" fontId="3" fillId="3" borderId="57" xfId="0" applyFont="1" applyFill="1" applyBorder="1" applyAlignment="1">
      <alignment horizontal="center"/>
    </xf>
    <xf numFmtId="0" fontId="3" fillId="3" borderId="17" xfId="0" applyFont="1" applyFill="1" applyBorder="1" applyAlignment="1">
      <alignment horizontal="center"/>
    </xf>
    <xf numFmtId="0" fontId="11" fillId="2" borderId="0" xfId="0" applyFont="1" applyFill="1" applyAlignment="1">
      <alignment horizontal="left" wrapText="1"/>
    </xf>
    <xf numFmtId="0" fontId="1" fillId="2" borderId="33" xfId="0" applyFont="1" applyFill="1" applyBorder="1" applyAlignment="1">
      <alignment horizontal="left"/>
    </xf>
    <xf numFmtId="0" fontId="1" fillId="2" borderId="5" xfId="0" applyFont="1" applyFill="1" applyBorder="1" applyAlignment="1">
      <alignment horizontal="left"/>
    </xf>
    <xf numFmtId="0" fontId="1" fillId="2" borderId="6" xfId="0" applyFont="1" applyFill="1" applyBorder="1" applyAlignment="1">
      <alignment horizontal="left"/>
    </xf>
    <xf numFmtId="0" fontId="1" fillId="2" borderId="24" xfId="0" applyFont="1" applyFill="1" applyBorder="1" applyAlignment="1">
      <alignment horizontal="left"/>
    </xf>
    <xf numFmtId="0" fontId="1" fillId="2" borderId="93" xfId="0" applyFont="1" applyFill="1" applyBorder="1" applyAlignment="1">
      <alignment horizontal="left"/>
    </xf>
    <xf numFmtId="0" fontId="1" fillId="2" borderId="25" xfId="0" applyFont="1" applyFill="1" applyBorder="1" applyAlignment="1">
      <alignment horizontal="left"/>
    </xf>
    <xf numFmtId="0" fontId="1" fillId="2" borderId="22" xfId="0" applyFont="1" applyFill="1" applyBorder="1" applyAlignment="1">
      <alignment horizontal="left" vertical="center"/>
    </xf>
    <xf numFmtId="0" fontId="1" fillId="2" borderId="3" xfId="0" applyFont="1" applyFill="1" applyBorder="1" applyAlignment="1">
      <alignment horizontal="left" vertical="center"/>
    </xf>
    <xf numFmtId="0" fontId="3" fillId="3" borderId="72" xfId="0" applyFont="1" applyFill="1" applyBorder="1" applyAlignment="1">
      <alignment horizontal="center" vertical="top" wrapText="1"/>
    </xf>
    <xf numFmtId="0" fontId="3" fillId="3" borderId="29" xfId="0" applyFont="1" applyFill="1" applyBorder="1" applyAlignment="1">
      <alignment horizontal="center" vertical="top" wrapText="1"/>
    </xf>
    <xf numFmtId="0" fontId="3" fillId="3" borderId="73" xfId="0" applyFont="1" applyFill="1" applyBorder="1" applyAlignment="1">
      <alignment horizontal="center" vertical="top" wrapText="1"/>
    </xf>
    <xf numFmtId="0" fontId="0" fillId="0" borderId="36" xfId="0" applyBorder="1" applyAlignment="1">
      <alignment horizontal="left"/>
    </xf>
    <xf numFmtId="0" fontId="0" fillId="0" borderId="64" xfId="0" applyBorder="1" applyAlignment="1">
      <alignment horizontal="left"/>
    </xf>
    <xf numFmtId="0" fontId="0" fillId="0" borderId="62" xfId="0" applyBorder="1" applyAlignment="1">
      <alignment horizontal="left"/>
    </xf>
    <xf numFmtId="0" fontId="5" fillId="0" borderId="4" xfId="0" applyFont="1" applyBorder="1" applyAlignment="1">
      <alignment horizontal="left" wrapText="1"/>
    </xf>
    <xf numFmtId="0" fontId="5" fillId="0" borderId="5" xfId="0" applyFont="1" applyBorder="1" applyAlignment="1">
      <alignment horizontal="left" wrapText="1"/>
    </xf>
    <xf numFmtId="0" fontId="5" fillId="0" borderId="60" xfId="0" applyFont="1" applyBorder="1" applyAlignment="1">
      <alignment horizontal="left" wrapText="1"/>
    </xf>
    <xf numFmtId="0" fontId="1" fillId="2" borderId="23" xfId="0" applyFont="1" applyFill="1" applyBorder="1" applyAlignment="1">
      <alignment horizontal="left" vertical="center"/>
    </xf>
    <xf numFmtId="0" fontId="1" fillId="2" borderId="21" xfId="0" applyFont="1" applyFill="1" applyBorder="1" applyAlignment="1">
      <alignment horizontal="left" vertical="center"/>
    </xf>
    <xf numFmtId="0" fontId="1" fillId="2" borderId="58" xfId="0" applyFont="1" applyFill="1" applyBorder="1" applyAlignment="1">
      <alignment horizontal="left" vertical="top" wrapText="1"/>
    </xf>
    <xf numFmtId="0" fontId="1" fillId="2" borderId="34" xfId="0" applyFont="1" applyFill="1" applyBorder="1" applyAlignment="1">
      <alignment horizontal="left" vertical="top" wrapText="1"/>
    </xf>
    <xf numFmtId="0" fontId="1" fillId="2" borderId="55" xfId="0" applyFont="1" applyFill="1" applyBorder="1" applyAlignment="1">
      <alignment horizontal="left" vertical="top" wrapText="1"/>
    </xf>
    <xf numFmtId="0" fontId="1" fillId="2" borderId="40" xfId="0" applyFont="1" applyFill="1" applyBorder="1" applyAlignment="1">
      <alignment horizontal="left" vertical="top" wrapText="1"/>
    </xf>
    <xf numFmtId="0" fontId="5" fillId="0" borderId="1" xfId="0" applyFont="1" applyBorder="1" applyAlignment="1">
      <alignment horizontal="left" wrapText="1"/>
    </xf>
    <xf numFmtId="0" fontId="5" fillId="0" borderId="2" xfId="0" applyFont="1" applyBorder="1" applyAlignment="1">
      <alignment horizontal="left" wrapText="1"/>
    </xf>
    <xf numFmtId="0" fontId="5" fillId="0" borderId="44" xfId="0" applyFont="1" applyBorder="1" applyAlignment="1">
      <alignment horizontal="left" wrapText="1"/>
    </xf>
    <xf numFmtId="0" fontId="1" fillId="0" borderId="1" xfId="0" applyFont="1" applyBorder="1" applyAlignment="1">
      <alignment horizontal="left" wrapText="1"/>
    </xf>
    <xf numFmtId="0" fontId="1" fillId="2" borderId="74" xfId="0" applyFont="1" applyFill="1" applyBorder="1" applyAlignment="1">
      <alignment horizontal="left" vertical="center"/>
    </xf>
    <xf numFmtId="0" fontId="1" fillId="2" borderId="39" xfId="0" applyFont="1" applyFill="1" applyBorder="1" applyAlignment="1">
      <alignment horizontal="left" vertical="center"/>
    </xf>
    <xf numFmtId="0" fontId="3" fillId="3" borderId="15" xfId="0" applyFont="1" applyFill="1" applyBorder="1" applyAlignment="1">
      <alignment horizontal="center" vertical="top" wrapText="1"/>
    </xf>
    <xf numFmtId="0" fontId="3" fillId="3" borderId="16" xfId="0" applyFont="1" applyFill="1" applyBorder="1" applyAlignment="1">
      <alignment horizontal="center" vertical="top" wrapText="1"/>
    </xf>
    <xf numFmtId="0" fontId="3" fillId="3" borderId="17" xfId="0" applyFont="1" applyFill="1" applyBorder="1" applyAlignment="1">
      <alignment horizontal="center" vertical="top" wrapText="1"/>
    </xf>
    <xf numFmtId="0" fontId="1" fillId="7" borderId="1" xfId="0" applyFont="1" applyFill="1" applyBorder="1" applyAlignment="1">
      <alignment horizontal="left" wrapText="1"/>
    </xf>
    <xf numFmtId="0" fontId="29" fillId="2" borderId="7" xfId="0" applyFont="1" applyFill="1" applyBorder="1" applyAlignment="1">
      <alignment horizontal="left" vertical="center"/>
    </xf>
    <xf numFmtId="0" fontId="29" fillId="2" borderId="20" xfId="0" applyFont="1" applyFill="1" applyBorder="1" applyAlignment="1">
      <alignment horizontal="left" vertical="center"/>
    </xf>
    <xf numFmtId="0" fontId="29" fillId="2" borderId="10" xfId="0" applyFont="1" applyFill="1" applyBorder="1" applyAlignment="1">
      <alignment horizontal="left" vertical="center"/>
    </xf>
    <xf numFmtId="0" fontId="5" fillId="0" borderId="27" xfId="0" applyFont="1" applyBorder="1" applyAlignment="1">
      <alignment horizontal="left" wrapText="1"/>
    </xf>
    <xf numFmtId="0" fontId="5" fillId="0" borderId="35" xfId="0" applyFont="1" applyBorder="1" applyAlignment="1">
      <alignment horizontal="left" wrapText="1"/>
    </xf>
    <xf numFmtId="0" fontId="5" fillId="0" borderId="42" xfId="0" applyFont="1" applyBorder="1" applyAlignment="1">
      <alignment horizontal="left" wrapText="1"/>
    </xf>
    <xf numFmtId="0" fontId="11" fillId="7" borderId="0" xfId="0" applyFont="1" applyFill="1" applyAlignment="1">
      <alignment horizontal="left" vertical="top" wrapText="1"/>
    </xf>
    <xf numFmtId="0" fontId="3" fillId="3" borderId="28" xfId="0" applyFont="1" applyFill="1" applyBorder="1" applyAlignment="1">
      <alignment horizontal="center" vertical="top" wrapText="1"/>
    </xf>
    <xf numFmtId="0" fontId="5" fillId="7" borderId="3" xfId="0" applyFont="1" applyFill="1" applyBorder="1" applyAlignment="1">
      <alignment horizontal="left" wrapText="1"/>
    </xf>
    <xf numFmtId="0" fontId="5" fillId="7" borderId="21" xfId="0" applyFont="1" applyFill="1" applyBorder="1" applyAlignment="1">
      <alignment horizontal="left" wrapText="1"/>
    </xf>
    <xf numFmtId="0" fontId="5" fillId="7" borderId="43" xfId="0" applyFont="1" applyFill="1" applyBorder="1" applyAlignment="1">
      <alignment horizontal="left" wrapText="1"/>
    </xf>
    <xf numFmtId="0" fontId="5" fillId="0" borderId="46" xfId="0" applyFont="1" applyBorder="1" applyAlignment="1">
      <alignment horizontal="left" wrapText="1"/>
    </xf>
    <xf numFmtId="0" fontId="5" fillId="0" borderId="26" xfId="0" applyFont="1" applyBorder="1" applyAlignment="1">
      <alignment horizontal="left" wrapText="1"/>
    </xf>
    <xf numFmtId="0" fontId="5" fillId="0" borderId="50" xfId="0" applyFont="1" applyBorder="1" applyAlignment="1">
      <alignment horizontal="left" wrapText="1"/>
    </xf>
    <xf numFmtId="0" fontId="5" fillId="0" borderId="3" xfId="0" applyFont="1" applyBorder="1" applyAlignment="1">
      <alignment horizontal="left" wrapText="1"/>
    </xf>
    <xf numFmtId="0" fontId="5" fillId="0" borderId="21" xfId="0" applyFont="1" applyBorder="1" applyAlignment="1">
      <alignment horizontal="left" wrapText="1"/>
    </xf>
    <xf numFmtId="0" fontId="5" fillId="0" borderId="43" xfId="0" applyFont="1" applyBorder="1" applyAlignment="1">
      <alignment horizontal="left" wrapText="1"/>
    </xf>
    <xf numFmtId="0" fontId="1" fillId="0" borderId="24" xfId="0" applyFont="1" applyBorder="1" applyAlignment="1">
      <alignment horizontal="left" wrapText="1"/>
    </xf>
    <xf numFmtId="0" fontId="5" fillId="0" borderId="93" xfId="0" applyFont="1" applyBorder="1" applyAlignment="1">
      <alignment horizontal="left" wrapText="1"/>
    </xf>
    <xf numFmtId="0" fontId="5" fillId="0" borderId="84" xfId="0" applyFont="1" applyBorder="1" applyAlignment="1">
      <alignment horizontal="left" wrapText="1"/>
    </xf>
    <xf numFmtId="0" fontId="1" fillId="2" borderId="32" xfId="0" applyFont="1" applyFill="1" applyBorder="1" applyAlignment="1">
      <alignment horizontal="left"/>
    </xf>
    <xf numFmtId="0" fontId="1" fillId="2" borderId="64" xfId="0" applyFont="1" applyFill="1" applyBorder="1" applyAlignment="1">
      <alignment horizontal="left"/>
    </xf>
    <xf numFmtId="0" fontId="1" fillId="2" borderId="41" xfId="0" applyFont="1" applyFill="1" applyBorder="1" applyAlignment="1">
      <alignment horizontal="left"/>
    </xf>
    <xf numFmtId="0" fontId="0" fillId="0" borderId="38" xfId="0" applyBorder="1" applyAlignment="1">
      <alignment horizontal="left"/>
    </xf>
    <xf numFmtId="0" fontId="0" fillId="0" borderId="93" xfId="0" applyBorder="1" applyAlignment="1">
      <alignment horizontal="left"/>
    </xf>
    <xf numFmtId="0" fontId="0" fillId="0" borderId="84" xfId="0" applyBorder="1" applyAlignment="1">
      <alignment horizontal="left"/>
    </xf>
    <xf numFmtId="0" fontId="11" fillId="7" borderId="0" xfId="0" applyFont="1" applyFill="1" applyAlignment="1">
      <alignment horizontal="left" wrapText="1"/>
    </xf>
    <xf numFmtId="0" fontId="5" fillId="7" borderId="0" xfId="13" quotePrefix="1" applyFill="1" applyAlignment="1">
      <alignment horizontal="left" vertical="top" wrapText="1" indent="4"/>
    </xf>
    <xf numFmtId="0" fontId="3" fillId="0" borderId="28" xfId="13" applyFont="1" applyBorder="1" applyAlignment="1">
      <alignment horizontal="center"/>
    </xf>
    <xf numFmtId="0" fontId="3" fillId="0" borderId="29" xfId="13" applyFont="1" applyBorder="1" applyAlignment="1">
      <alignment horizontal="center"/>
    </xf>
    <xf numFmtId="0" fontId="3" fillId="0" borderId="73" xfId="13" applyFont="1" applyBorder="1" applyAlignment="1">
      <alignment horizontal="center"/>
    </xf>
    <xf numFmtId="0" fontId="5" fillId="7" borderId="0" xfId="13" applyFill="1" applyAlignment="1">
      <alignment horizontal="left" vertical="top" wrapText="1"/>
    </xf>
    <xf numFmtId="0" fontId="5" fillId="7" borderId="0" xfId="13" applyFill="1" applyAlignment="1">
      <alignment horizontal="left"/>
    </xf>
    <xf numFmtId="0" fontId="5" fillId="7" borderId="0" xfId="13" applyFill="1" applyAlignment="1">
      <alignment horizontal="left" wrapText="1"/>
    </xf>
    <xf numFmtId="0" fontId="49" fillId="18" borderId="4" xfId="0" applyFont="1" applyFill="1" applyBorder="1" applyAlignment="1">
      <alignment horizontal="left" vertical="center" wrapText="1"/>
    </xf>
    <xf numFmtId="0" fontId="49" fillId="18" borderId="5" xfId="0" applyFont="1" applyFill="1" applyBorder="1" applyAlignment="1">
      <alignment horizontal="left" vertical="center" wrapText="1"/>
    </xf>
    <xf numFmtId="0" fontId="49" fillId="18" borderId="6" xfId="0" applyFont="1" applyFill="1" applyBorder="1" applyAlignment="1">
      <alignment horizontal="left" vertical="center" wrapText="1"/>
    </xf>
    <xf numFmtId="0" fontId="20" fillId="20" borderId="0" xfId="0" applyFont="1" applyFill="1" applyAlignment="1" applyProtection="1">
      <alignment horizontal="center" vertical="center"/>
      <protection locked="0"/>
    </xf>
    <xf numFmtId="0" fontId="5" fillId="7" borderId="0" xfId="13" applyFill="1" applyAlignment="1">
      <alignment horizontal="left" wrapText="1" indent="1"/>
    </xf>
    <xf numFmtId="0" fontId="10" fillId="7" borderId="0" xfId="13" applyFont="1" applyFill="1" applyAlignment="1">
      <alignment horizontal="left" wrapText="1"/>
    </xf>
    <xf numFmtId="0" fontId="5" fillId="7" borderId="0" xfId="13" quotePrefix="1" applyFill="1" applyAlignment="1">
      <alignment horizontal="center" vertical="top" wrapText="1"/>
    </xf>
    <xf numFmtId="0" fontId="1" fillId="7" borderId="0" xfId="13" applyFont="1" applyFill="1" applyAlignment="1">
      <alignment horizontal="left" wrapText="1" indent="1"/>
    </xf>
    <xf numFmtId="0" fontId="19" fillId="7" borderId="16" xfId="13" applyFont="1" applyFill="1" applyBorder="1" applyAlignment="1">
      <alignment horizontal="left" vertical="center" wrapText="1"/>
    </xf>
    <xf numFmtId="0" fontId="1" fillId="7" borderId="0" xfId="13" applyFont="1" applyFill="1" applyAlignment="1">
      <alignment horizontal="left" vertical="top" wrapText="1"/>
    </xf>
    <xf numFmtId="0" fontId="3" fillId="14" borderId="28" xfId="13" applyFont="1" applyFill="1" applyBorder="1" applyAlignment="1">
      <alignment horizontal="center"/>
    </xf>
    <xf numFmtId="0" fontId="3" fillId="14" borderId="29" xfId="13" applyFont="1" applyFill="1" applyBorder="1" applyAlignment="1">
      <alignment horizontal="center"/>
    </xf>
    <xf numFmtId="0" fontId="3" fillId="14" borderId="73" xfId="13" applyFont="1" applyFill="1" applyBorder="1" applyAlignment="1">
      <alignment horizontal="center"/>
    </xf>
    <xf numFmtId="0" fontId="1" fillId="2" borderId="0" xfId="13" applyFont="1" applyFill="1" applyAlignment="1">
      <alignment horizontal="left" vertical="top" wrapText="1" indent="1"/>
    </xf>
    <xf numFmtId="0" fontId="5" fillId="2" borderId="0" xfId="13" applyFill="1" applyAlignment="1">
      <alignment horizontal="left" vertical="top" wrapText="1" indent="1"/>
    </xf>
    <xf numFmtId="0" fontId="5" fillId="7" borderId="0" xfId="13" applyFill="1" applyAlignment="1">
      <alignment horizontal="left" vertical="top"/>
    </xf>
    <xf numFmtId="0" fontId="5" fillId="7" borderId="0" xfId="0" quotePrefix="1" applyFont="1" applyFill="1" applyAlignment="1">
      <alignment horizontal="center" wrapText="1"/>
    </xf>
    <xf numFmtId="0" fontId="5" fillId="7" borderId="0" xfId="13" applyFill="1" applyAlignment="1">
      <alignment horizontal="left" vertical="center" wrapText="1"/>
    </xf>
    <xf numFmtId="0" fontId="3" fillId="7" borderId="0" xfId="13" applyFont="1" applyFill="1" applyAlignment="1">
      <alignment horizontal="center"/>
    </xf>
    <xf numFmtId="0" fontId="3" fillId="16" borderId="2" xfId="0" applyFont="1" applyFill="1" applyBorder="1" applyAlignment="1">
      <alignment horizontal="center"/>
    </xf>
    <xf numFmtId="0" fontId="3" fillId="16" borderId="2" xfId="0" applyFont="1" applyFill="1" applyBorder="1" applyAlignment="1">
      <alignment horizontal="center" wrapText="1"/>
    </xf>
    <xf numFmtId="0" fontId="13" fillId="7" borderId="0" xfId="0" applyFont="1" applyFill="1" applyAlignment="1">
      <alignment horizontal="left" wrapText="1"/>
    </xf>
    <xf numFmtId="0" fontId="5" fillId="7" borderId="0" xfId="13" applyFill="1" applyAlignment="1">
      <alignment wrapText="1"/>
    </xf>
  </cellXfs>
  <cellStyles count="26">
    <cellStyle name="Body: normal cell" xfId="1" xr:uid="{00000000-0005-0000-0000-000000000000}"/>
    <cellStyle name="Comma" xfId="2" builtinId="3"/>
    <cellStyle name="Comma 2" xfId="3" xr:uid="{00000000-0005-0000-0000-000002000000}"/>
    <cellStyle name="Comma0" xfId="4" xr:uid="{00000000-0005-0000-0000-000003000000}"/>
    <cellStyle name="Currency 2" xfId="5" xr:uid="{00000000-0005-0000-0000-000005000000}"/>
    <cellStyle name="Currency0" xfId="6" xr:uid="{00000000-0005-0000-0000-000006000000}"/>
    <cellStyle name="Euro" xfId="7" xr:uid="{00000000-0005-0000-0000-000007000000}"/>
    <cellStyle name="Hyperlink" xfId="8" builtinId="8"/>
    <cellStyle name="Milliers [0]_Annex_comb_guideline_version4-2" xfId="9" xr:uid="{00000000-0005-0000-0000-000009000000}"/>
    <cellStyle name="Milliers_Annex_comb_guideline_version4-2" xfId="10" xr:uid="{00000000-0005-0000-0000-00000A000000}"/>
    <cellStyle name="Monétaire [0]_Annex comb guideline 4-7" xfId="11" xr:uid="{00000000-0005-0000-0000-00000B000000}"/>
    <cellStyle name="Monétaire_Annex_comb_guideline_version4-2" xfId="12" xr:uid="{00000000-0005-0000-0000-00000C000000}"/>
    <cellStyle name="Normal" xfId="0" builtinId="0"/>
    <cellStyle name="Normal 128" xfId="25" xr:uid="{368F7367-2F3C-49F5-BBA1-84D4D8D56B0E}"/>
    <cellStyle name="Normal 2" xfId="13" xr:uid="{00000000-0005-0000-0000-00000E000000}"/>
    <cellStyle name="Normal 3" xfId="14" xr:uid="{00000000-0005-0000-0000-00000F000000}"/>
    <cellStyle name="Normal 4" xfId="15" xr:uid="{00000000-0005-0000-0000-000010000000}"/>
    <cellStyle name="Normal 5" xfId="16" xr:uid="{00000000-0005-0000-0000-000011000000}"/>
    <cellStyle name="Parent row" xfId="17" xr:uid="{00000000-0005-0000-0000-000012000000}"/>
    <cellStyle name="Percent" xfId="18" builtinId="5"/>
    <cellStyle name="Percent 2" xfId="19" xr:uid="{00000000-0005-0000-0000-000014000000}"/>
    <cellStyle name="Percent 3" xfId="20" xr:uid="{00000000-0005-0000-0000-000015000000}"/>
    <cellStyle name="Source Hed" xfId="21" xr:uid="{00000000-0005-0000-0000-000016000000}"/>
    <cellStyle name="Source Text" xfId="22" xr:uid="{00000000-0005-0000-0000-000017000000}"/>
    <cellStyle name="Title-1" xfId="23" xr:uid="{00000000-0005-0000-0000-000018000000}"/>
    <cellStyle name="Title-2" xfId="24" xr:uid="{00000000-0005-0000-0000-000019000000}"/>
  </cellStyles>
  <dxfs count="1">
    <dxf>
      <fill>
        <patternFill>
          <bgColor theme="9"/>
        </patternFill>
      </fill>
    </dxf>
  </dxfs>
  <tableStyles count="0" defaultTableStyle="TableStyleMedium2" defaultPivotStyle="PivotStyleLight16"/>
  <colors>
    <mruColors>
      <color rgb="FFFDFD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3" Type="http://schemas.openxmlformats.org/officeDocument/2006/relationships/image" Target="../media/image53.emf"/><Relationship Id="rId7" Type="http://schemas.openxmlformats.org/officeDocument/2006/relationships/image" Target="../media/image57.emf"/><Relationship Id="rId2" Type="http://schemas.openxmlformats.org/officeDocument/2006/relationships/image" Target="../media/image52.emf"/><Relationship Id="rId1" Type="http://schemas.openxmlformats.org/officeDocument/2006/relationships/image" Target="../media/image51.jpeg"/><Relationship Id="rId6" Type="http://schemas.openxmlformats.org/officeDocument/2006/relationships/image" Target="../media/image56.emf"/><Relationship Id="rId5" Type="http://schemas.openxmlformats.org/officeDocument/2006/relationships/image" Target="../media/image55.emf"/><Relationship Id="rId4" Type="http://schemas.openxmlformats.org/officeDocument/2006/relationships/image" Target="../media/image54.emf"/></Relationships>
</file>

<file path=xl/drawings/_rels/drawing11.xml.rels><?xml version="1.0" encoding="UTF-8" standalone="yes"?>
<Relationships xmlns="http://schemas.openxmlformats.org/package/2006/relationships"><Relationship Id="rId3" Type="http://schemas.openxmlformats.org/officeDocument/2006/relationships/image" Target="../media/image59.emf"/><Relationship Id="rId2" Type="http://schemas.openxmlformats.org/officeDocument/2006/relationships/image" Target="../media/image58.emf"/><Relationship Id="rId1" Type="http://schemas.openxmlformats.org/officeDocument/2006/relationships/image" Target="../media/image26.jpeg"/><Relationship Id="rId4" Type="http://schemas.openxmlformats.org/officeDocument/2006/relationships/image" Target="../media/image60.emf"/></Relationships>
</file>

<file path=xl/drawings/_rels/drawing12.xml.rels><?xml version="1.0" encoding="UTF-8" standalone="yes"?>
<Relationships xmlns="http://schemas.openxmlformats.org/package/2006/relationships"><Relationship Id="rId3" Type="http://schemas.openxmlformats.org/officeDocument/2006/relationships/image" Target="../media/image62.emf"/><Relationship Id="rId2" Type="http://schemas.openxmlformats.org/officeDocument/2006/relationships/image" Target="../media/image61.emf"/><Relationship Id="rId1" Type="http://schemas.openxmlformats.org/officeDocument/2006/relationships/image" Target="../media/image26.jpeg"/><Relationship Id="rId4" Type="http://schemas.openxmlformats.org/officeDocument/2006/relationships/image" Target="../media/image63.emf"/></Relationships>
</file>

<file path=xl/drawings/_rels/drawing13.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26.jpeg"/><Relationship Id="rId4" Type="http://schemas.openxmlformats.org/officeDocument/2006/relationships/image" Target="../media/image6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jpeg"/><Relationship Id="rId4" Type="http://schemas.openxmlformats.org/officeDocument/2006/relationships/image" Target="../media/image70.emf"/></Relationships>
</file>

<file path=xl/drawings/_rels/drawing15.xml.rels><?xml version="1.0" encoding="UTF-8" standalone="yes"?>
<Relationships xmlns="http://schemas.openxmlformats.org/package/2006/relationships"><Relationship Id="rId3" Type="http://schemas.openxmlformats.org/officeDocument/2006/relationships/image" Target="../media/image72.emf"/><Relationship Id="rId2" Type="http://schemas.openxmlformats.org/officeDocument/2006/relationships/image" Target="../media/image71.emf"/><Relationship Id="rId1" Type="http://schemas.openxmlformats.org/officeDocument/2006/relationships/image" Target="../media/image26.jpeg"/><Relationship Id="rId4" Type="http://schemas.openxmlformats.org/officeDocument/2006/relationships/image" Target="../media/image73.emf"/></Relationships>
</file>

<file path=xl/drawings/_rels/drawing16.xml.rels><?xml version="1.0" encoding="UTF-8" standalone="yes"?>
<Relationships xmlns="http://schemas.openxmlformats.org/package/2006/relationships"><Relationship Id="rId3" Type="http://schemas.openxmlformats.org/officeDocument/2006/relationships/image" Target="../media/image76.emf"/><Relationship Id="rId2" Type="http://schemas.openxmlformats.org/officeDocument/2006/relationships/image" Target="../media/image75.emf"/><Relationship Id="rId1" Type="http://schemas.openxmlformats.org/officeDocument/2006/relationships/image" Target="../media/image7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78.emf"/><Relationship Id="rId2" Type="http://schemas.openxmlformats.org/officeDocument/2006/relationships/image" Target="../media/image77.emf"/><Relationship Id="rId1" Type="http://schemas.openxmlformats.org/officeDocument/2006/relationships/image" Target="../media/image26.jpeg"/><Relationship Id="rId5" Type="http://schemas.openxmlformats.org/officeDocument/2006/relationships/image" Target="../media/image80.emf"/><Relationship Id="rId4" Type="http://schemas.openxmlformats.org/officeDocument/2006/relationships/image" Target="../media/image79.emf"/></Relationships>
</file>

<file path=xl/drawings/_rels/drawing18.xml.rels><?xml version="1.0" encoding="UTF-8" standalone="yes"?>
<Relationships xmlns="http://schemas.openxmlformats.org/package/2006/relationships"><Relationship Id="rId3" Type="http://schemas.openxmlformats.org/officeDocument/2006/relationships/image" Target="../media/image83.emf"/><Relationship Id="rId2" Type="http://schemas.openxmlformats.org/officeDocument/2006/relationships/image" Target="../media/image82.emf"/><Relationship Id="rId1" Type="http://schemas.openxmlformats.org/officeDocument/2006/relationships/image" Target="../media/image8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85.emf"/><Relationship Id="rId1" Type="http://schemas.openxmlformats.org/officeDocument/2006/relationships/image" Target="../media/image8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88.emf"/><Relationship Id="rId2" Type="http://schemas.openxmlformats.org/officeDocument/2006/relationships/image" Target="../media/image87.emf"/><Relationship Id="rId1" Type="http://schemas.openxmlformats.org/officeDocument/2006/relationships/image" Target="../media/image86.jpeg"/><Relationship Id="rId4" Type="http://schemas.openxmlformats.org/officeDocument/2006/relationships/image" Target="../media/image89.emf"/></Relationships>
</file>

<file path=xl/drawings/_rels/drawing21.xml.rels><?xml version="1.0" encoding="UTF-8" standalone="yes"?>
<Relationships xmlns="http://schemas.openxmlformats.org/package/2006/relationships"><Relationship Id="rId3" Type="http://schemas.openxmlformats.org/officeDocument/2006/relationships/image" Target="../media/image91.emf"/><Relationship Id="rId2" Type="http://schemas.openxmlformats.org/officeDocument/2006/relationships/image" Target="../media/image90.emf"/><Relationship Id="rId1" Type="http://schemas.openxmlformats.org/officeDocument/2006/relationships/image" Target="../media/image26.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93.emf"/><Relationship Id="rId2" Type="http://schemas.openxmlformats.org/officeDocument/2006/relationships/image" Target="../media/image92.emf"/><Relationship Id="rId1" Type="http://schemas.openxmlformats.org/officeDocument/2006/relationships/image" Target="../media/image26.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95.emf"/><Relationship Id="rId2" Type="http://schemas.openxmlformats.org/officeDocument/2006/relationships/image" Target="../media/image94.emf"/><Relationship Id="rId1" Type="http://schemas.openxmlformats.org/officeDocument/2006/relationships/image" Target="../media/image86.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97.emf"/><Relationship Id="rId2" Type="http://schemas.openxmlformats.org/officeDocument/2006/relationships/image" Target="../media/image96.emf"/><Relationship Id="rId1" Type="http://schemas.openxmlformats.org/officeDocument/2006/relationships/image" Target="../media/image86.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99.emf"/><Relationship Id="rId2" Type="http://schemas.openxmlformats.org/officeDocument/2006/relationships/image" Target="../media/image98.emf"/><Relationship Id="rId1" Type="http://schemas.openxmlformats.org/officeDocument/2006/relationships/image" Target="../media/image67.jpeg"/><Relationship Id="rId5" Type="http://schemas.openxmlformats.org/officeDocument/2006/relationships/image" Target="../media/image101.emf"/><Relationship Id="rId4" Type="http://schemas.openxmlformats.org/officeDocument/2006/relationships/image" Target="../media/image100.emf"/></Relationships>
</file>

<file path=xl/drawings/_rels/drawing26.xml.rels><?xml version="1.0" encoding="UTF-8" standalone="yes"?>
<Relationships xmlns="http://schemas.openxmlformats.org/package/2006/relationships"><Relationship Id="rId3" Type="http://schemas.openxmlformats.org/officeDocument/2006/relationships/image" Target="../media/image103.emf"/><Relationship Id="rId2" Type="http://schemas.openxmlformats.org/officeDocument/2006/relationships/image" Target="../media/image102.emf"/><Relationship Id="rId1" Type="http://schemas.openxmlformats.org/officeDocument/2006/relationships/image" Target="../media/image26.jpeg"/><Relationship Id="rId6" Type="http://schemas.openxmlformats.org/officeDocument/2006/relationships/image" Target="../media/image106.emf"/><Relationship Id="rId5" Type="http://schemas.openxmlformats.org/officeDocument/2006/relationships/image" Target="../media/image105.emf"/><Relationship Id="rId4" Type="http://schemas.openxmlformats.org/officeDocument/2006/relationships/image" Target="../media/image104.emf"/></Relationships>
</file>

<file path=xl/drawings/_rels/drawing27.xml.rels><?xml version="1.0" encoding="UTF-8" standalone="yes"?>
<Relationships xmlns="http://schemas.openxmlformats.org/package/2006/relationships"><Relationship Id="rId3" Type="http://schemas.openxmlformats.org/officeDocument/2006/relationships/image" Target="../media/image108.emf"/><Relationship Id="rId2" Type="http://schemas.openxmlformats.org/officeDocument/2006/relationships/image" Target="../media/image107.emf"/><Relationship Id="rId1" Type="http://schemas.openxmlformats.org/officeDocument/2006/relationships/image" Target="../media/image86.jpeg"/><Relationship Id="rId5" Type="http://schemas.openxmlformats.org/officeDocument/2006/relationships/image" Target="../media/image110.emf"/><Relationship Id="rId4" Type="http://schemas.openxmlformats.org/officeDocument/2006/relationships/image" Target="../media/image109.emf"/></Relationships>
</file>

<file path=xl/drawings/_rels/drawing28.xml.rels><?xml version="1.0" encoding="UTF-8" standalone="yes"?>
<Relationships xmlns="http://schemas.openxmlformats.org/package/2006/relationships"><Relationship Id="rId3" Type="http://schemas.openxmlformats.org/officeDocument/2006/relationships/image" Target="../media/image112.emf"/><Relationship Id="rId2" Type="http://schemas.openxmlformats.org/officeDocument/2006/relationships/image" Target="../media/image111.emf"/><Relationship Id="rId1" Type="http://schemas.openxmlformats.org/officeDocument/2006/relationships/image" Target="../media/image26.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114.emf"/><Relationship Id="rId2" Type="http://schemas.openxmlformats.org/officeDocument/2006/relationships/image" Target="../media/image113.emf"/><Relationship Id="rId1" Type="http://schemas.openxmlformats.org/officeDocument/2006/relationships/image" Target="../media/image8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image" Target="../media/image19.emf"/><Relationship Id="rId18" Type="http://schemas.openxmlformats.org/officeDocument/2006/relationships/image" Target="../media/image24.emf"/><Relationship Id="rId3" Type="http://schemas.openxmlformats.org/officeDocument/2006/relationships/image" Target="../media/image9.emf"/><Relationship Id="rId7" Type="http://schemas.openxmlformats.org/officeDocument/2006/relationships/image" Target="../media/image13.emf"/><Relationship Id="rId12" Type="http://schemas.openxmlformats.org/officeDocument/2006/relationships/image" Target="../media/image18.emf"/><Relationship Id="rId17" Type="http://schemas.openxmlformats.org/officeDocument/2006/relationships/image" Target="../media/image23.emf"/><Relationship Id="rId2" Type="http://schemas.openxmlformats.org/officeDocument/2006/relationships/image" Target="../media/image8.emf"/><Relationship Id="rId16" Type="http://schemas.openxmlformats.org/officeDocument/2006/relationships/image" Target="../media/image22.emf"/><Relationship Id="rId1" Type="http://schemas.openxmlformats.org/officeDocument/2006/relationships/image" Target="../media/image7.jpeg"/><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5" Type="http://schemas.openxmlformats.org/officeDocument/2006/relationships/image" Target="../media/image21.emf"/><Relationship Id="rId10" Type="http://schemas.openxmlformats.org/officeDocument/2006/relationships/image" Target="../media/image16.emf"/><Relationship Id="rId19" Type="http://schemas.openxmlformats.org/officeDocument/2006/relationships/image" Target="../media/image25.emf"/><Relationship Id="rId4" Type="http://schemas.openxmlformats.org/officeDocument/2006/relationships/image" Target="../media/image10.emf"/><Relationship Id="rId9" Type="http://schemas.openxmlformats.org/officeDocument/2006/relationships/image" Target="../media/image15.emf"/><Relationship Id="rId14" Type="http://schemas.openxmlformats.org/officeDocument/2006/relationships/image" Target="../media/image20.emf"/></Relationships>
</file>

<file path=xl/drawings/_rels/drawing30.xml.rels><?xml version="1.0" encoding="UTF-8" standalone="yes"?>
<Relationships xmlns="http://schemas.openxmlformats.org/package/2006/relationships"><Relationship Id="rId3" Type="http://schemas.openxmlformats.org/officeDocument/2006/relationships/image" Target="../media/image116.emf"/><Relationship Id="rId2" Type="http://schemas.openxmlformats.org/officeDocument/2006/relationships/image" Target="../media/image115.emf"/><Relationship Id="rId1" Type="http://schemas.openxmlformats.org/officeDocument/2006/relationships/image" Target="../media/image26.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118.emf"/><Relationship Id="rId2" Type="http://schemas.openxmlformats.org/officeDocument/2006/relationships/image" Target="../media/image117.emf"/><Relationship Id="rId1" Type="http://schemas.openxmlformats.org/officeDocument/2006/relationships/image" Target="../media/image26.jpeg"/><Relationship Id="rId4" Type="http://schemas.openxmlformats.org/officeDocument/2006/relationships/image" Target="../media/image119.emf"/></Relationships>
</file>

<file path=xl/drawings/_rels/drawing32.xml.rels><?xml version="1.0" encoding="UTF-8" standalone="yes"?>
<Relationships xmlns="http://schemas.openxmlformats.org/package/2006/relationships"><Relationship Id="rId3" Type="http://schemas.openxmlformats.org/officeDocument/2006/relationships/image" Target="../media/image121.emf"/><Relationship Id="rId2" Type="http://schemas.openxmlformats.org/officeDocument/2006/relationships/image" Target="../media/image120.emf"/><Relationship Id="rId1" Type="http://schemas.openxmlformats.org/officeDocument/2006/relationships/image" Target="../media/image2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26.jpeg"/><Relationship Id="rId5" Type="http://schemas.openxmlformats.org/officeDocument/2006/relationships/image" Target="../media/image30.emf"/><Relationship Id="rId4" Type="http://schemas.openxmlformats.org/officeDocument/2006/relationships/image" Target="../media/image29.emf"/></Relationships>
</file>

<file path=xl/drawings/_rels/drawing5.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26.jpeg"/><Relationship Id="rId4" Type="http://schemas.openxmlformats.org/officeDocument/2006/relationships/image" Target="../media/image33.emf"/></Relationships>
</file>

<file path=xl/drawings/_rels/drawing6.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26.jpeg"/><Relationship Id="rId4" Type="http://schemas.openxmlformats.org/officeDocument/2006/relationships/image" Target="../media/image36.emf"/></Relationships>
</file>

<file path=xl/drawings/_rels/drawing7.x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emf"/><Relationship Id="rId1" Type="http://schemas.openxmlformats.org/officeDocument/2006/relationships/image" Target="../media/image37.jpeg"/><Relationship Id="rId4" Type="http://schemas.openxmlformats.org/officeDocument/2006/relationships/image" Target="../media/image40.emf"/></Relationships>
</file>

<file path=xl/drawings/_rels/drawing8.x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emf"/><Relationship Id="rId1" Type="http://schemas.openxmlformats.org/officeDocument/2006/relationships/image" Target="../media/image26.jpeg"/><Relationship Id="rId4" Type="http://schemas.openxmlformats.org/officeDocument/2006/relationships/image" Target="../media/image43.emf"/></Relationships>
</file>

<file path=xl/drawings/_rels/drawing9.xml.rels><?xml version="1.0" encoding="UTF-8" standalone="yes"?>
<Relationships xmlns="http://schemas.openxmlformats.org/package/2006/relationships"><Relationship Id="rId3" Type="http://schemas.openxmlformats.org/officeDocument/2006/relationships/image" Target="../media/image46.emf"/><Relationship Id="rId7" Type="http://schemas.openxmlformats.org/officeDocument/2006/relationships/image" Target="../media/image50.emf"/><Relationship Id="rId2" Type="http://schemas.openxmlformats.org/officeDocument/2006/relationships/image" Target="../media/image45.png"/><Relationship Id="rId1" Type="http://schemas.openxmlformats.org/officeDocument/2006/relationships/image" Target="../media/image44.jpeg"/><Relationship Id="rId6" Type="http://schemas.openxmlformats.org/officeDocument/2006/relationships/image" Target="../media/image49.emf"/><Relationship Id="rId5" Type="http://schemas.openxmlformats.org/officeDocument/2006/relationships/image" Target="../media/image48.emf"/><Relationship Id="rId4" Type="http://schemas.openxmlformats.org/officeDocument/2006/relationships/image" Target="../media/image47.emf"/></Relationships>
</file>

<file path=xl/drawings/drawing1.xml><?xml version="1.0" encoding="utf-8"?>
<xdr:wsDr xmlns:xdr="http://schemas.openxmlformats.org/drawingml/2006/spreadsheetDrawing" xmlns:a="http://schemas.openxmlformats.org/drawingml/2006/main">
  <xdr:twoCellAnchor editAs="oneCell">
    <xdr:from>
      <xdr:col>3</xdr:col>
      <xdr:colOff>342900</xdr:colOff>
      <xdr:row>24</xdr:row>
      <xdr:rowOff>25400</xdr:rowOff>
    </xdr:from>
    <xdr:to>
      <xdr:col>3</xdr:col>
      <xdr:colOff>1739900</xdr:colOff>
      <xdr:row>26</xdr:row>
      <xdr:rowOff>12700</xdr:rowOff>
    </xdr:to>
    <xdr:sp macro="" textlink="">
      <xdr:nvSpPr>
        <xdr:cNvPr id="26642" name="CommandButton1" hidden="1">
          <a:extLst>
            <a:ext uri="{63B3BB69-23CF-44E3-9099-C40C66FF867C}">
              <a14:compatExt xmlns:a14="http://schemas.microsoft.com/office/drawing/2010/main" spid="_x0000_s26642"/>
            </a:ext>
            <a:ext uri="{FF2B5EF4-FFF2-40B4-BE49-F238E27FC236}">
              <a16:creationId xmlns:a16="http://schemas.microsoft.com/office/drawing/2014/main" id="{00000000-0008-0000-0000-0000126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342900</xdr:colOff>
      <xdr:row>26</xdr:row>
      <xdr:rowOff>25400</xdr:rowOff>
    </xdr:from>
    <xdr:to>
      <xdr:col>3</xdr:col>
      <xdr:colOff>1739900</xdr:colOff>
      <xdr:row>28</xdr:row>
      <xdr:rowOff>50800</xdr:rowOff>
    </xdr:to>
    <xdr:sp macro="" textlink="">
      <xdr:nvSpPr>
        <xdr:cNvPr id="26643" name="CommandButton2" hidden="1">
          <a:extLst>
            <a:ext uri="{63B3BB69-23CF-44E3-9099-C40C66FF867C}">
              <a14:compatExt xmlns:a14="http://schemas.microsoft.com/office/drawing/2010/main" spid="_x0000_s26643"/>
            </a:ext>
            <a:ext uri="{FF2B5EF4-FFF2-40B4-BE49-F238E27FC236}">
              <a16:creationId xmlns:a16="http://schemas.microsoft.com/office/drawing/2014/main" id="{00000000-0008-0000-0000-0000136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342900</xdr:colOff>
      <xdr:row>28</xdr:row>
      <xdr:rowOff>38100</xdr:rowOff>
    </xdr:from>
    <xdr:to>
      <xdr:col>3</xdr:col>
      <xdr:colOff>1739900</xdr:colOff>
      <xdr:row>30</xdr:row>
      <xdr:rowOff>63500</xdr:rowOff>
    </xdr:to>
    <xdr:sp macro="" textlink="">
      <xdr:nvSpPr>
        <xdr:cNvPr id="26644" name="CommandButton3" hidden="1">
          <a:extLst>
            <a:ext uri="{63B3BB69-23CF-44E3-9099-C40C66FF867C}">
              <a14:compatExt xmlns:a14="http://schemas.microsoft.com/office/drawing/2010/main" spid="_x0000_s26644"/>
            </a:ext>
            <a:ext uri="{FF2B5EF4-FFF2-40B4-BE49-F238E27FC236}">
              <a16:creationId xmlns:a16="http://schemas.microsoft.com/office/drawing/2014/main" id="{00000000-0008-0000-0000-0000146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6</xdr:col>
          <xdr:colOff>257175</xdr:colOff>
          <xdr:row>23</xdr:row>
          <xdr:rowOff>114300</xdr:rowOff>
        </xdr:from>
        <xdr:to>
          <xdr:col>8</xdr:col>
          <xdr:colOff>428625</xdr:colOff>
          <xdr:row>25</xdr:row>
          <xdr:rowOff>38100</xdr:rowOff>
        </xdr:to>
        <xdr:sp macro="" textlink="">
          <xdr:nvSpPr>
            <xdr:cNvPr id="26773" name="Button 149" hidden="1">
              <a:extLst>
                <a:ext uri="{63B3BB69-23CF-44E3-9099-C40C66FF867C}">
                  <a14:compatExt spid="_x0000_s26773"/>
                </a:ext>
                <a:ext uri="{FF2B5EF4-FFF2-40B4-BE49-F238E27FC236}">
                  <a16:creationId xmlns:a16="http://schemas.microsoft.com/office/drawing/2014/main" id="{00000000-0008-0000-0000-00009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Data Entry 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12</xdr:row>
          <xdr:rowOff>66675</xdr:rowOff>
        </xdr:from>
        <xdr:to>
          <xdr:col>6</xdr:col>
          <xdr:colOff>114300</xdr:colOff>
          <xdr:row>14</xdr:row>
          <xdr:rowOff>28575</xdr:rowOff>
        </xdr:to>
        <xdr:sp macro="" textlink="">
          <xdr:nvSpPr>
            <xdr:cNvPr id="26794" name="Button 170" hidden="1">
              <a:extLst>
                <a:ext uri="{63B3BB69-23CF-44E3-9099-C40C66FF867C}">
                  <a14:compatExt spid="_x0000_s26794"/>
                </a:ext>
                <a:ext uri="{FF2B5EF4-FFF2-40B4-BE49-F238E27FC236}">
                  <a16:creationId xmlns:a16="http://schemas.microsoft.com/office/drawing/2014/main" id="{00000000-0008-0000-0000-0000A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Help Sheet</a:t>
              </a:r>
            </a:p>
          </xdr:txBody>
        </xdr:sp>
        <xdr:clientData fPrintsWithSheet="0"/>
      </xdr:twoCellAnchor>
    </mc:Choice>
    <mc:Fallback/>
  </mc:AlternateContent>
  <xdr:twoCellAnchor editAs="oneCell">
    <xdr:from>
      <xdr:col>0</xdr:col>
      <xdr:colOff>0</xdr:colOff>
      <xdr:row>0</xdr:row>
      <xdr:rowOff>0</xdr:rowOff>
    </xdr:from>
    <xdr:to>
      <xdr:col>10</xdr:col>
      <xdr:colOff>514350</xdr:colOff>
      <xdr:row>1</xdr:row>
      <xdr:rowOff>666750</xdr:rowOff>
    </xdr:to>
    <xdr:pic>
      <xdr:nvPicPr>
        <xdr:cNvPr id="27616" name="Picture 1">
          <a:extLst>
            <a:ext uri="{FF2B5EF4-FFF2-40B4-BE49-F238E27FC236}">
              <a16:creationId xmlns:a16="http://schemas.microsoft.com/office/drawing/2014/main" id="{00000000-0008-0000-0000-0000E06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229725" cy="254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190500</xdr:colOff>
          <xdr:row>12</xdr:row>
          <xdr:rowOff>66675</xdr:rowOff>
        </xdr:from>
        <xdr:to>
          <xdr:col>6</xdr:col>
          <xdr:colOff>114300</xdr:colOff>
          <xdr:row>14</xdr:row>
          <xdr:rowOff>28575</xdr:rowOff>
        </xdr:to>
        <xdr:sp macro="" textlink="">
          <xdr:nvSpPr>
            <xdr:cNvPr id="27317" name="Button 693" hidden="1">
              <a:extLst>
                <a:ext uri="{63B3BB69-23CF-44E3-9099-C40C66FF867C}">
                  <a14:compatExt spid="_x0000_s27317"/>
                </a:ext>
                <a:ext uri="{FF2B5EF4-FFF2-40B4-BE49-F238E27FC236}">
                  <a16:creationId xmlns:a16="http://schemas.microsoft.com/office/drawing/2014/main" id="{00000000-0008-0000-0000-0000B56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Help Sheet</a:t>
              </a:r>
            </a:p>
          </xdr:txBody>
        </xdr:sp>
        <xdr:clientData fPrintsWithSheet="0"/>
      </xdr:twoCellAnchor>
    </mc:Choice>
    <mc:Fallback/>
  </mc:AlternateContent>
  <xdr:twoCellAnchor editAs="oneCell">
    <xdr:from>
      <xdr:col>3</xdr:col>
      <xdr:colOff>342900</xdr:colOff>
      <xdr:row>24</xdr:row>
      <xdr:rowOff>25400</xdr:rowOff>
    </xdr:from>
    <xdr:to>
      <xdr:col>3</xdr:col>
      <xdr:colOff>1739900</xdr:colOff>
      <xdr:row>26</xdr:row>
      <xdr:rowOff>12700</xdr:rowOff>
    </xdr:to>
    <xdr:pic>
      <xdr:nvPicPr>
        <xdr:cNvPr id="2" name="CommandButton1">
          <a:extLst>
            <a:ext uri="{FF2B5EF4-FFF2-40B4-BE49-F238E27FC236}">
              <a16:creationId xmlns:a16="http://schemas.microsoft.com/office/drawing/2014/main" id="{00000000-0008-0000-00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94000" y="9512300"/>
          <a:ext cx="1397000" cy="3429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342900</xdr:colOff>
      <xdr:row>26</xdr:row>
      <xdr:rowOff>25400</xdr:rowOff>
    </xdr:from>
    <xdr:to>
      <xdr:col>3</xdr:col>
      <xdr:colOff>1739900</xdr:colOff>
      <xdr:row>28</xdr:row>
      <xdr:rowOff>50800</xdr:rowOff>
    </xdr:to>
    <xdr:pic>
      <xdr:nvPicPr>
        <xdr:cNvPr id="3" name="CommandButton2">
          <a:extLst>
            <a:ext uri="{FF2B5EF4-FFF2-40B4-BE49-F238E27FC236}">
              <a16:creationId xmlns:a16="http://schemas.microsoft.com/office/drawing/2014/main" id="{00000000-0008-0000-00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94000" y="9867900"/>
          <a:ext cx="13970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342900</xdr:colOff>
      <xdr:row>28</xdr:row>
      <xdr:rowOff>38100</xdr:rowOff>
    </xdr:from>
    <xdr:to>
      <xdr:col>3</xdr:col>
      <xdr:colOff>1739900</xdr:colOff>
      <xdr:row>30</xdr:row>
      <xdr:rowOff>63500</xdr:rowOff>
    </xdr:to>
    <xdr:pic>
      <xdr:nvPicPr>
        <xdr:cNvPr id="4" name="CommandButton3">
          <a:extLst>
            <a:ext uri="{FF2B5EF4-FFF2-40B4-BE49-F238E27FC236}">
              <a16:creationId xmlns:a16="http://schemas.microsoft.com/office/drawing/2014/main" id="{00000000-0008-0000-00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94000" y="10210800"/>
          <a:ext cx="1397000" cy="355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50800</xdr:colOff>
      <xdr:row>0</xdr:row>
      <xdr:rowOff>139700</xdr:rowOff>
    </xdr:from>
    <xdr:to>
      <xdr:col>1</xdr:col>
      <xdr:colOff>965200</xdr:colOff>
      <xdr:row>1</xdr:row>
      <xdr:rowOff>139700</xdr:rowOff>
    </xdr:to>
    <xdr:sp macro="" textlink="">
      <xdr:nvSpPr>
        <xdr:cNvPr id="17479" name="CommandButton1" hidden="1">
          <a:extLst>
            <a:ext uri="{63B3BB69-23CF-44E3-9099-C40C66FF867C}">
              <a14:compatExt xmlns:a14="http://schemas.microsoft.com/office/drawing/2010/main" spid="_x0000_s17479"/>
            </a:ext>
            <a:ext uri="{FF2B5EF4-FFF2-40B4-BE49-F238E27FC236}">
              <a16:creationId xmlns:a16="http://schemas.microsoft.com/office/drawing/2014/main" id="{00000000-0008-0000-0900-0000474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1231900</xdr:colOff>
      <xdr:row>0</xdr:row>
      <xdr:rowOff>139700</xdr:rowOff>
    </xdr:from>
    <xdr:to>
      <xdr:col>3</xdr:col>
      <xdr:colOff>25400</xdr:colOff>
      <xdr:row>1</xdr:row>
      <xdr:rowOff>139700</xdr:rowOff>
    </xdr:to>
    <xdr:sp macro="" textlink="">
      <xdr:nvSpPr>
        <xdr:cNvPr id="17480" name="CommandButton2" hidden="1">
          <a:extLst>
            <a:ext uri="{63B3BB69-23CF-44E3-9099-C40C66FF867C}">
              <a14:compatExt xmlns:a14="http://schemas.microsoft.com/office/drawing/2010/main" spid="_x0000_s17480"/>
            </a:ext>
            <a:ext uri="{FF2B5EF4-FFF2-40B4-BE49-F238E27FC236}">
              <a16:creationId xmlns:a16="http://schemas.microsoft.com/office/drawing/2014/main" id="{00000000-0008-0000-0900-0000484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12700</xdr:colOff>
      <xdr:row>0</xdr:row>
      <xdr:rowOff>139700</xdr:rowOff>
    </xdr:from>
    <xdr:to>
      <xdr:col>6</xdr:col>
      <xdr:colOff>114300</xdr:colOff>
      <xdr:row>1</xdr:row>
      <xdr:rowOff>139700</xdr:rowOff>
    </xdr:to>
    <xdr:sp macro="" textlink="">
      <xdr:nvSpPr>
        <xdr:cNvPr id="17581" name="CommandButton3" hidden="1">
          <a:extLst>
            <a:ext uri="{63B3BB69-23CF-44E3-9099-C40C66FF867C}">
              <a14:compatExt xmlns:a14="http://schemas.microsoft.com/office/drawing/2010/main" spid="_x0000_s17581"/>
            </a:ext>
            <a:ext uri="{FF2B5EF4-FFF2-40B4-BE49-F238E27FC236}">
              <a16:creationId xmlns:a16="http://schemas.microsoft.com/office/drawing/2014/main" id="{00000000-0008-0000-0900-0000AD4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457200</xdr:colOff>
      <xdr:row>0</xdr:row>
      <xdr:rowOff>139700</xdr:rowOff>
    </xdr:from>
    <xdr:to>
      <xdr:col>4</xdr:col>
      <xdr:colOff>279400</xdr:colOff>
      <xdr:row>1</xdr:row>
      <xdr:rowOff>139700</xdr:rowOff>
    </xdr:to>
    <xdr:sp macro="" textlink="">
      <xdr:nvSpPr>
        <xdr:cNvPr id="17603" name="CommandButton4" hidden="1">
          <a:extLst>
            <a:ext uri="{63B3BB69-23CF-44E3-9099-C40C66FF867C}">
              <a14:compatExt xmlns:a14="http://schemas.microsoft.com/office/drawing/2010/main" spid="_x0000_s17603"/>
            </a:ext>
            <a:ext uri="{FF2B5EF4-FFF2-40B4-BE49-F238E27FC236}">
              <a16:creationId xmlns:a16="http://schemas.microsoft.com/office/drawing/2014/main" id="{00000000-0008-0000-0900-0000C34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819150</xdr:colOff>
      <xdr:row>1</xdr:row>
      <xdr:rowOff>161925</xdr:rowOff>
    </xdr:from>
    <xdr:to>
      <xdr:col>7</xdr:col>
      <xdr:colOff>95250</xdr:colOff>
      <xdr:row>3</xdr:row>
      <xdr:rowOff>133350</xdr:rowOff>
    </xdr:to>
    <xdr:pic>
      <xdr:nvPicPr>
        <xdr:cNvPr id="18419" name="Picture 7">
          <a:extLst>
            <a:ext uri="{FF2B5EF4-FFF2-40B4-BE49-F238E27FC236}">
              <a16:creationId xmlns:a16="http://schemas.microsoft.com/office/drawing/2014/main" id="{00000000-0008-0000-0900-0000F34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172075"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203200</xdr:colOff>
      <xdr:row>0</xdr:row>
      <xdr:rowOff>139700</xdr:rowOff>
    </xdr:from>
    <xdr:to>
      <xdr:col>8</xdr:col>
      <xdr:colOff>749300</xdr:colOff>
      <xdr:row>1</xdr:row>
      <xdr:rowOff>139700</xdr:rowOff>
    </xdr:to>
    <xdr:sp macro="" textlink="">
      <xdr:nvSpPr>
        <xdr:cNvPr id="18380" name="CommandButton5" hidden="1">
          <a:extLst>
            <a:ext uri="{63B3BB69-23CF-44E3-9099-C40C66FF867C}">
              <a14:compatExt xmlns:a14="http://schemas.microsoft.com/office/drawing/2010/main" spid="_x0000_s18380"/>
            </a:ext>
            <a:ext uri="{FF2B5EF4-FFF2-40B4-BE49-F238E27FC236}">
              <a16:creationId xmlns:a16="http://schemas.microsoft.com/office/drawing/2014/main" id="{00000000-0008-0000-0900-0000CC4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520700</xdr:colOff>
      <xdr:row>15</xdr:row>
      <xdr:rowOff>190500</xdr:rowOff>
    </xdr:from>
    <xdr:to>
      <xdr:col>11</xdr:col>
      <xdr:colOff>177800</xdr:colOff>
      <xdr:row>16</xdr:row>
      <xdr:rowOff>12700</xdr:rowOff>
    </xdr:to>
    <xdr:sp macro="" textlink="">
      <xdr:nvSpPr>
        <xdr:cNvPr id="18382" name="CommandButton6" hidden="1">
          <a:extLst>
            <a:ext uri="{63B3BB69-23CF-44E3-9099-C40C66FF867C}">
              <a14:compatExt xmlns:a14="http://schemas.microsoft.com/office/drawing/2010/main" spid="_x0000_s18382"/>
            </a:ext>
            <a:ext uri="{FF2B5EF4-FFF2-40B4-BE49-F238E27FC236}">
              <a16:creationId xmlns:a16="http://schemas.microsoft.com/office/drawing/2014/main" id="{00000000-0008-0000-0900-0000CE4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50800</xdr:colOff>
      <xdr:row>0</xdr:row>
      <xdr:rowOff>139700</xdr:rowOff>
    </xdr:from>
    <xdr:to>
      <xdr:col>1</xdr:col>
      <xdr:colOff>965200</xdr:colOff>
      <xdr:row>1</xdr:row>
      <xdr:rowOff>139700</xdr:rowOff>
    </xdr:to>
    <xdr:pic>
      <xdr:nvPicPr>
        <xdr:cNvPr id="2" name="CommandButton1">
          <a:extLst>
            <a:ext uri="{FF2B5EF4-FFF2-40B4-BE49-F238E27FC236}">
              <a16:creationId xmlns:a16="http://schemas.microsoft.com/office/drawing/2014/main" id="{00000000-0008-0000-09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1</xdr:col>
      <xdr:colOff>1231900</xdr:colOff>
      <xdr:row>0</xdr:row>
      <xdr:rowOff>139700</xdr:rowOff>
    </xdr:from>
    <xdr:to>
      <xdr:col>3</xdr:col>
      <xdr:colOff>25400</xdr:colOff>
      <xdr:row>1</xdr:row>
      <xdr:rowOff>139700</xdr:rowOff>
    </xdr:to>
    <xdr:pic>
      <xdr:nvPicPr>
        <xdr:cNvPr id="3" name="CommandButton2">
          <a:extLst>
            <a:ext uri="{FF2B5EF4-FFF2-40B4-BE49-F238E27FC236}">
              <a16:creationId xmlns:a16="http://schemas.microsoft.com/office/drawing/2014/main" id="{00000000-0008-0000-09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93900" y="139700"/>
          <a:ext cx="1587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12700</xdr:colOff>
      <xdr:row>0</xdr:row>
      <xdr:rowOff>139700</xdr:rowOff>
    </xdr:from>
    <xdr:to>
      <xdr:col>6</xdr:col>
      <xdr:colOff>114300</xdr:colOff>
      <xdr:row>1</xdr:row>
      <xdr:rowOff>139700</xdr:rowOff>
    </xdr:to>
    <xdr:pic>
      <xdr:nvPicPr>
        <xdr:cNvPr id="4" name="CommandButton3">
          <a:extLst>
            <a:ext uri="{FF2B5EF4-FFF2-40B4-BE49-F238E27FC236}">
              <a16:creationId xmlns:a16="http://schemas.microsoft.com/office/drawing/2014/main" id="{00000000-0008-0000-09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139700"/>
          <a:ext cx="11049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457200</xdr:colOff>
      <xdr:row>0</xdr:row>
      <xdr:rowOff>139700</xdr:rowOff>
    </xdr:from>
    <xdr:to>
      <xdr:col>4</xdr:col>
      <xdr:colOff>279400</xdr:colOff>
      <xdr:row>1</xdr:row>
      <xdr:rowOff>139700</xdr:rowOff>
    </xdr:to>
    <xdr:pic>
      <xdr:nvPicPr>
        <xdr:cNvPr id="5" name="CommandButton4">
          <a:extLst>
            <a:ext uri="{FF2B5EF4-FFF2-40B4-BE49-F238E27FC236}">
              <a16:creationId xmlns:a16="http://schemas.microsoft.com/office/drawing/2014/main" id="{00000000-0008-0000-09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13200" y="139700"/>
          <a:ext cx="14859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203200</xdr:colOff>
      <xdr:row>0</xdr:row>
      <xdr:rowOff>139700</xdr:rowOff>
    </xdr:from>
    <xdr:to>
      <xdr:col>8</xdr:col>
      <xdr:colOff>749300</xdr:colOff>
      <xdr:row>1</xdr:row>
      <xdr:rowOff>139700</xdr:rowOff>
    </xdr:to>
    <xdr:pic>
      <xdr:nvPicPr>
        <xdr:cNvPr id="6" name="CommandButton5">
          <a:extLst>
            <a:ext uri="{FF2B5EF4-FFF2-40B4-BE49-F238E27FC236}">
              <a16:creationId xmlns:a16="http://schemas.microsoft.com/office/drawing/2014/main" id="{00000000-0008-0000-0900-000006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04100" y="139700"/>
          <a:ext cx="2400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520700</xdr:colOff>
      <xdr:row>15</xdr:row>
      <xdr:rowOff>190500</xdr:rowOff>
    </xdr:from>
    <xdr:to>
      <xdr:col>11</xdr:col>
      <xdr:colOff>177800</xdr:colOff>
      <xdr:row>16</xdr:row>
      <xdr:rowOff>12700</xdr:rowOff>
    </xdr:to>
    <xdr:pic>
      <xdr:nvPicPr>
        <xdr:cNvPr id="7" name="CommandButton6">
          <a:extLst>
            <a:ext uri="{FF2B5EF4-FFF2-40B4-BE49-F238E27FC236}">
              <a16:creationId xmlns:a16="http://schemas.microsoft.com/office/drawing/2014/main" id="{00000000-0008-0000-0900-000007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75800" y="3187700"/>
          <a:ext cx="2438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711200</xdr:colOff>
      <xdr:row>0</xdr:row>
      <xdr:rowOff>139700</xdr:rowOff>
    </xdr:from>
    <xdr:to>
      <xdr:col>1</xdr:col>
      <xdr:colOff>749300</xdr:colOff>
      <xdr:row>1</xdr:row>
      <xdr:rowOff>139700</xdr:rowOff>
    </xdr:to>
    <xdr:sp macro="" textlink="">
      <xdr:nvSpPr>
        <xdr:cNvPr id="19558" name="CommandButton1" hidden="1">
          <a:extLst>
            <a:ext uri="{63B3BB69-23CF-44E3-9099-C40C66FF867C}">
              <a14:compatExt xmlns:a14="http://schemas.microsoft.com/office/drawing/2010/main" spid="_x0000_s19558"/>
            </a:ext>
            <a:ext uri="{FF2B5EF4-FFF2-40B4-BE49-F238E27FC236}">
              <a16:creationId xmlns:a16="http://schemas.microsoft.com/office/drawing/2014/main" id="{00000000-0008-0000-0A00-0000664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952500</xdr:colOff>
      <xdr:row>0</xdr:row>
      <xdr:rowOff>139700</xdr:rowOff>
    </xdr:from>
    <xdr:to>
      <xdr:col>2</xdr:col>
      <xdr:colOff>647700</xdr:colOff>
      <xdr:row>1</xdr:row>
      <xdr:rowOff>139700</xdr:rowOff>
    </xdr:to>
    <xdr:sp macro="" textlink="">
      <xdr:nvSpPr>
        <xdr:cNvPr id="19559" name="CommandButton2" hidden="1">
          <a:extLst>
            <a:ext uri="{63B3BB69-23CF-44E3-9099-C40C66FF867C}">
              <a14:compatExt xmlns:a14="http://schemas.microsoft.com/office/drawing/2010/main" spid="_x0000_s19559"/>
            </a:ext>
            <a:ext uri="{FF2B5EF4-FFF2-40B4-BE49-F238E27FC236}">
              <a16:creationId xmlns:a16="http://schemas.microsoft.com/office/drawing/2014/main" id="{00000000-0008-0000-0A00-0000674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2</xdr:col>
      <xdr:colOff>2413000</xdr:colOff>
      <xdr:row>0</xdr:row>
      <xdr:rowOff>139700</xdr:rowOff>
    </xdr:from>
    <xdr:to>
      <xdr:col>4</xdr:col>
      <xdr:colOff>25400</xdr:colOff>
      <xdr:row>1</xdr:row>
      <xdr:rowOff>139700</xdr:rowOff>
    </xdr:to>
    <xdr:sp macro="" textlink="">
      <xdr:nvSpPr>
        <xdr:cNvPr id="19661" name="CommandButton3" hidden="1">
          <a:extLst>
            <a:ext uri="{63B3BB69-23CF-44E3-9099-C40C66FF867C}">
              <a14:compatExt xmlns:a14="http://schemas.microsoft.com/office/drawing/2010/main" spid="_x0000_s19661"/>
            </a:ext>
            <a:ext uri="{FF2B5EF4-FFF2-40B4-BE49-F238E27FC236}">
              <a16:creationId xmlns:a16="http://schemas.microsoft.com/office/drawing/2014/main" id="{00000000-0008-0000-0A00-0000CD4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19050</xdr:colOff>
      <xdr:row>1</xdr:row>
      <xdr:rowOff>152400</xdr:rowOff>
    </xdr:from>
    <xdr:to>
      <xdr:col>5</xdr:col>
      <xdr:colOff>332814</xdr:colOff>
      <xdr:row>3</xdr:row>
      <xdr:rowOff>120650</xdr:rowOff>
    </xdr:to>
    <xdr:pic>
      <xdr:nvPicPr>
        <xdr:cNvPr id="57365" name="Picture 5">
          <a:extLst>
            <a:ext uri="{FF2B5EF4-FFF2-40B4-BE49-F238E27FC236}">
              <a16:creationId xmlns:a16="http://schemas.microsoft.com/office/drawing/2014/main" id="{00000000-0008-0000-0A00-000015E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4667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711200</xdr:colOff>
      <xdr:row>0</xdr:row>
      <xdr:rowOff>139700</xdr:rowOff>
    </xdr:from>
    <xdr:to>
      <xdr:col>1</xdr:col>
      <xdr:colOff>749300</xdr:colOff>
      <xdr:row>1</xdr:row>
      <xdr:rowOff>139700</xdr:rowOff>
    </xdr:to>
    <xdr:pic>
      <xdr:nvPicPr>
        <xdr:cNvPr id="2" name="CommandButton1">
          <a:extLst>
            <a:ext uri="{FF2B5EF4-FFF2-40B4-BE49-F238E27FC236}">
              <a16:creationId xmlns:a16="http://schemas.microsoft.com/office/drawing/2014/main" id="{00000000-0008-0000-0A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200" y="139700"/>
          <a:ext cx="1041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1</xdr:col>
      <xdr:colOff>952500</xdr:colOff>
      <xdr:row>0</xdr:row>
      <xdr:rowOff>139700</xdr:rowOff>
    </xdr:from>
    <xdr:to>
      <xdr:col>2</xdr:col>
      <xdr:colOff>647700</xdr:colOff>
      <xdr:row>1</xdr:row>
      <xdr:rowOff>139700</xdr:rowOff>
    </xdr:to>
    <xdr:pic>
      <xdr:nvPicPr>
        <xdr:cNvPr id="3" name="CommandButton2">
          <a:extLst>
            <a:ext uri="{FF2B5EF4-FFF2-40B4-BE49-F238E27FC236}">
              <a16:creationId xmlns:a16="http://schemas.microsoft.com/office/drawing/2014/main" id="{00000000-0008-0000-0A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55800" y="139700"/>
          <a:ext cx="15240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2</xdr:col>
      <xdr:colOff>2413000</xdr:colOff>
      <xdr:row>0</xdr:row>
      <xdr:rowOff>139700</xdr:rowOff>
    </xdr:from>
    <xdr:to>
      <xdr:col>4</xdr:col>
      <xdr:colOff>25400</xdr:colOff>
      <xdr:row>1</xdr:row>
      <xdr:rowOff>139700</xdr:rowOff>
    </xdr:to>
    <xdr:pic>
      <xdr:nvPicPr>
        <xdr:cNvPr id="4" name="CommandButton3">
          <a:extLst>
            <a:ext uri="{FF2B5EF4-FFF2-40B4-BE49-F238E27FC236}">
              <a16:creationId xmlns:a16="http://schemas.microsoft.com/office/drawing/2014/main" id="{00000000-0008-0000-0A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45100" y="139700"/>
          <a:ext cx="14097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12700</xdr:colOff>
      <xdr:row>0</xdr:row>
      <xdr:rowOff>139700</xdr:rowOff>
    </xdr:from>
    <xdr:to>
      <xdr:col>1</xdr:col>
      <xdr:colOff>927100</xdr:colOff>
      <xdr:row>1</xdr:row>
      <xdr:rowOff>139700</xdr:rowOff>
    </xdr:to>
    <xdr:sp macro="" textlink="">
      <xdr:nvSpPr>
        <xdr:cNvPr id="29697" name="CommandButton1" hidden="1">
          <a:extLst>
            <a:ext uri="{63B3BB69-23CF-44E3-9099-C40C66FF867C}">
              <a14:compatExt xmlns:a14="http://schemas.microsoft.com/office/drawing/2010/main" spid="_x0000_s29697"/>
            </a:ext>
            <a:ext uri="{FF2B5EF4-FFF2-40B4-BE49-F238E27FC236}">
              <a16:creationId xmlns:a16="http://schemas.microsoft.com/office/drawing/2014/main" id="{00000000-0008-0000-0B00-0000017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1130300</xdr:colOff>
      <xdr:row>0</xdr:row>
      <xdr:rowOff>139700</xdr:rowOff>
    </xdr:from>
    <xdr:to>
      <xdr:col>2</xdr:col>
      <xdr:colOff>1231900</xdr:colOff>
      <xdr:row>1</xdr:row>
      <xdr:rowOff>139700</xdr:rowOff>
    </xdr:to>
    <xdr:sp macro="" textlink="">
      <xdr:nvSpPr>
        <xdr:cNvPr id="29698" name="CommandButton2" hidden="1">
          <a:extLst>
            <a:ext uri="{63B3BB69-23CF-44E3-9099-C40C66FF867C}">
              <a14:compatExt xmlns:a14="http://schemas.microsoft.com/office/drawing/2010/main" spid="_x0000_s29698"/>
            </a:ext>
            <a:ext uri="{FF2B5EF4-FFF2-40B4-BE49-F238E27FC236}">
              <a16:creationId xmlns:a16="http://schemas.microsoft.com/office/drawing/2014/main" id="{00000000-0008-0000-0B00-0000027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673100</xdr:colOff>
      <xdr:row>0</xdr:row>
      <xdr:rowOff>139700</xdr:rowOff>
    </xdr:from>
    <xdr:to>
      <xdr:col>4</xdr:col>
      <xdr:colOff>749300</xdr:colOff>
      <xdr:row>1</xdr:row>
      <xdr:rowOff>139700</xdr:rowOff>
    </xdr:to>
    <xdr:sp macro="" textlink="">
      <xdr:nvSpPr>
        <xdr:cNvPr id="29739" name="CommandButton3" hidden="1">
          <a:extLst>
            <a:ext uri="{63B3BB69-23CF-44E3-9099-C40C66FF867C}">
              <a14:compatExt xmlns:a14="http://schemas.microsoft.com/office/drawing/2010/main" spid="_x0000_s29739"/>
            </a:ext>
            <a:ext uri="{FF2B5EF4-FFF2-40B4-BE49-F238E27FC236}">
              <a16:creationId xmlns:a16="http://schemas.microsoft.com/office/drawing/2014/main" id="{00000000-0008-0000-0B00-00002B7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581025</xdr:colOff>
      <xdr:row>1</xdr:row>
      <xdr:rowOff>190500</xdr:rowOff>
    </xdr:from>
    <xdr:to>
      <xdr:col>5</xdr:col>
      <xdr:colOff>676648</xdr:colOff>
      <xdr:row>4</xdr:row>
      <xdr:rowOff>0</xdr:rowOff>
    </xdr:to>
    <xdr:pic>
      <xdr:nvPicPr>
        <xdr:cNvPr id="30575" name="Picture 5">
          <a:extLst>
            <a:ext uri="{FF2B5EF4-FFF2-40B4-BE49-F238E27FC236}">
              <a16:creationId xmlns:a16="http://schemas.microsoft.com/office/drawing/2014/main" id="{00000000-0008-0000-0B00-00006F7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00600"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12700</xdr:colOff>
      <xdr:row>0</xdr:row>
      <xdr:rowOff>139700</xdr:rowOff>
    </xdr:from>
    <xdr:to>
      <xdr:col>1</xdr:col>
      <xdr:colOff>927100</xdr:colOff>
      <xdr:row>1</xdr:row>
      <xdr:rowOff>139700</xdr:rowOff>
    </xdr:to>
    <xdr:pic>
      <xdr:nvPicPr>
        <xdr:cNvPr id="2" name="CommandButton1">
          <a:extLst>
            <a:ext uri="{FF2B5EF4-FFF2-40B4-BE49-F238E27FC236}">
              <a16:creationId xmlns:a16="http://schemas.microsoft.com/office/drawing/2014/main" id="{00000000-0008-0000-0B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1</xdr:col>
      <xdr:colOff>1130300</xdr:colOff>
      <xdr:row>0</xdr:row>
      <xdr:rowOff>139700</xdr:rowOff>
    </xdr:from>
    <xdr:to>
      <xdr:col>2</xdr:col>
      <xdr:colOff>1231900</xdr:colOff>
      <xdr:row>1</xdr:row>
      <xdr:rowOff>139700</xdr:rowOff>
    </xdr:to>
    <xdr:pic>
      <xdr:nvPicPr>
        <xdr:cNvPr id="3" name="CommandButton2">
          <a:extLst>
            <a:ext uri="{FF2B5EF4-FFF2-40B4-BE49-F238E27FC236}">
              <a16:creationId xmlns:a16="http://schemas.microsoft.com/office/drawing/2014/main" id="{00000000-0008-0000-0B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473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673100</xdr:colOff>
      <xdr:row>0</xdr:row>
      <xdr:rowOff>139700</xdr:rowOff>
    </xdr:from>
    <xdr:to>
      <xdr:col>4</xdr:col>
      <xdr:colOff>749300</xdr:colOff>
      <xdr:row>1</xdr:row>
      <xdr:rowOff>139700</xdr:rowOff>
    </xdr:to>
    <xdr:pic>
      <xdr:nvPicPr>
        <xdr:cNvPr id="4" name="CommandButton3">
          <a:extLst>
            <a:ext uri="{FF2B5EF4-FFF2-40B4-BE49-F238E27FC236}">
              <a16:creationId xmlns:a16="http://schemas.microsoft.com/office/drawing/2014/main" id="{00000000-0008-0000-0B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99100" y="139700"/>
          <a:ext cx="10541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711200</xdr:colOff>
      <xdr:row>0</xdr:row>
      <xdr:rowOff>139700</xdr:rowOff>
    </xdr:from>
    <xdr:to>
      <xdr:col>1</xdr:col>
      <xdr:colOff>838200</xdr:colOff>
      <xdr:row>1</xdr:row>
      <xdr:rowOff>139700</xdr:rowOff>
    </xdr:to>
    <xdr:sp macro="" textlink="">
      <xdr:nvSpPr>
        <xdr:cNvPr id="22800" name="CommandButton1" hidden="1">
          <a:extLst>
            <a:ext uri="{63B3BB69-23CF-44E3-9099-C40C66FF867C}">
              <a14:compatExt xmlns:a14="http://schemas.microsoft.com/office/drawing/2010/main" spid="_x0000_s22800"/>
            </a:ext>
            <a:ext uri="{FF2B5EF4-FFF2-40B4-BE49-F238E27FC236}">
              <a16:creationId xmlns:a16="http://schemas.microsoft.com/office/drawing/2014/main" id="{00000000-0008-0000-0C00-00001059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1054100</xdr:colOff>
      <xdr:row>0</xdr:row>
      <xdr:rowOff>139700</xdr:rowOff>
    </xdr:from>
    <xdr:to>
      <xdr:col>2</xdr:col>
      <xdr:colOff>342900</xdr:colOff>
      <xdr:row>1</xdr:row>
      <xdr:rowOff>139700</xdr:rowOff>
    </xdr:to>
    <xdr:sp macro="" textlink="">
      <xdr:nvSpPr>
        <xdr:cNvPr id="22801" name="CommandButton2" hidden="1">
          <a:extLst>
            <a:ext uri="{63B3BB69-23CF-44E3-9099-C40C66FF867C}">
              <a14:compatExt xmlns:a14="http://schemas.microsoft.com/office/drawing/2010/main" spid="_x0000_s22801"/>
            </a:ext>
            <a:ext uri="{FF2B5EF4-FFF2-40B4-BE49-F238E27FC236}">
              <a16:creationId xmlns:a16="http://schemas.microsoft.com/office/drawing/2014/main" id="{00000000-0008-0000-0C00-00001159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139700</xdr:colOff>
      <xdr:row>0</xdr:row>
      <xdr:rowOff>139700</xdr:rowOff>
    </xdr:from>
    <xdr:to>
      <xdr:col>4</xdr:col>
      <xdr:colOff>355600</xdr:colOff>
      <xdr:row>1</xdr:row>
      <xdr:rowOff>139700</xdr:rowOff>
    </xdr:to>
    <xdr:sp macro="" textlink="">
      <xdr:nvSpPr>
        <xdr:cNvPr id="22802" name="CommandButton3" hidden="1">
          <a:extLst>
            <a:ext uri="{63B3BB69-23CF-44E3-9099-C40C66FF867C}">
              <a14:compatExt xmlns:a14="http://schemas.microsoft.com/office/drawing/2010/main" spid="_x0000_s22802"/>
            </a:ext>
            <a:ext uri="{FF2B5EF4-FFF2-40B4-BE49-F238E27FC236}">
              <a16:creationId xmlns:a16="http://schemas.microsoft.com/office/drawing/2014/main" id="{00000000-0008-0000-0C00-00001259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76200</xdr:colOff>
      <xdr:row>1</xdr:row>
      <xdr:rowOff>180975</xdr:rowOff>
    </xdr:from>
    <xdr:to>
      <xdr:col>5</xdr:col>
      <xdr:colOff>463549</xdr:colOff>
      <xdr:row>3</xdr:row>
      <xdr:rowOff>152400</xdr:rowOff>
    </xdr:to>
    <xdr:pic>
      <xdr:nvPicPr>
        <xdr:cNvPr id="23542" name="Picture 5">
          <a:extLst>
            <a:ext uri="{FF2B5EF4-FFF2-40B4-BE49-F238E27FC236}">
              <a16:creationId xmlns:a16="http://schemas.microsoft.com/office/drawing/2014/main" id="{00000000-0008-0000-0C00-0000F65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19650" y="495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711200</xdr:colOff>
      <xdr:row>0</xdr:row>
      <xdr:rowOff>139700</xdr:rowOff>
    </xdr:from>
    <xdr:to>
      <xdr:col>1</xdr:col>
      <xdr:colOff>838200</xdr:colOff>
      <xdr:row>1</xdr:row>
      <xdr:rowOff>139700</xdr:rowOff>
    </xdr:to>
    <xdr:pic>
      <xdr:nvPicPr>
        <xdr:cNvPr id="2" name="CommandButton1">
          <a:extLst>
            <a:ext uri="{FF2B5EF4-FFF2-40B4-BE49-F238E27FC236}">
              <a16:creationId xmlns:a16="http://schemas.microsoft.com/office/drawing/2014/main" id="{00000000-0008-0000-0C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200" y="139700"/>
          <a:ext cx="10287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1</xdr:col>
      <xdr:colOff>1054100</xdr:colOff>
      <xdr:row>0</xdr:row>
      <xdr:rowOff>139700</xdr:rowOff>
    </xdr:from>
    <xdr:to>
      <xdr:col>2</xdr:col>
      <xdr:colOff>342900</xdr:colOff>
      <xdr:row>1</xdr:row>
      <xdr:rowOff>139700</xdr:rowOff>
    </xdr:to>
    <xdr:pic>
      <xdr:nvPicPr>
        <xdr:cNvPr id="3" name="CommandButton2">
          <a:extLst>
            <a:ext uri="{FF2B5EF4-FFF2-40B4-BE49-F238E27FC236}">
              <a16:creationId xmlns:a16="http://schemas.microsoft.com/office/drawing/2014/main" id="{00000000-0008-0000-0C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55800" y="139700"/>
          <a:ext cx="1587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139700</xdr:colOff>
      <xdr:row>0</xdr:row>
      <xdr:rowOff>139700</xdr:rowOff>
    </xdr:from>
    <xdr:to>
      <xdr:col>4</xdr:col>
      <xdr:colOff>355600</xdr:colOff>
      <xdr:row>1</xdr:row>
      <xdr:rowOff>139700</xdr:rowOff>
    </xdr:to>
    <xdr:pic>
      <xdr:nvPicPr>
        <xdr:cNvPr id="4" name="CommandButton3">
          <a:extLst>
            <a:ext uri="{FF2B5EF4-FFF2-40B4-BE49-F238E27FC236}">
              <a16:creationId xmlns:a16="http://schemas.microsoft.com/office/drawing/2014/main" id="{00000000-0008-0000-0C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45200" y="139700"/>
          <a:ext cx="1041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711200</xdr:colOff>
      <xdr:row>0</xdr:row>
      <xdr:rowOff>139700</xdr:rowOff>
    </xdr:from>
    <xdr:to>
      <xdr:col>0</xdr:col>
      <xdr:colOff>1663700</xdr:colOff>
      <xdr:row>1</xdr:row>
      <xdr:rowOff>139700</xdr:rowOff>
    </xdr:to>
    <xdr:sp macro="" textlink="">
      <xdr:nvSpPr>
        <xdr:cNvPr id="76801" name="CommandButton1" hidden="1">
          <a:extLst>
            <a:ext uri="{63B3BB69-23CF-44E3-9099-C40C66FF867C}">
              <a14:compatExt xmlns:a14="http://schemas.microsoft.com/office/drawing/2010/main" spid="_x0000_s76801"/>
            </a:ext>
            <a:ext uri="{FF2B5EF4-FFF2-40B4-BE49-F238E27FC236}">
              <a16:creationId xmlns:a16="http://schemas.microsoft.com/office/drawing/2014/main" id="{00000000-0008-0000-0D00-0000012C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0</xdr:col>
      <xdr:colOff>1879600</xdr:colOff>
      <xdr:row>0</xdr:row>
      <xdr:rowOff>139700</xdr:rowOff>
    </xdr:from>
    <xdr:to>
      <xdr:col>1</xdr:col>
      <xdr:colOff>25400</xdr:colOff>
      <xdr:row>1</xdr:row>
      <xdr:rowOff>139700</xdr:rowOff>
    </xdr:to>
    <xdr:sp macro="" textlink="">
      <xdr:nvSpPr>
        <xdr:cNvPr id="76802" name="CommandButton2" hidden="1">
          <a:extLst>
            <a:ext uri="{63B3BB69-23CF-44E3-9099-C40C66FF867C}">
              <a14:compatExt xmlns:a14="http://schemas.microsoft.com/office/drawing/2010/main" spid="_x0000_s76802"/>
            </a:ext>
            <a:ext uri="{FF2B5EF4-FFF2-40B4-BE49-F238E27FC236}">
              <a16:creationId xmlns:a16="http://schemas.microsoft.com/office/drawing/2014/main" id="{00000000-0008-0000-0D00-0000022C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139700</xdr:colOff>
      <xdr:row>0</xdr:row>
      <xdr:rowOff>139700</xdr:rowOff>
    </xdr:from>
    <xdr:to>
      <xdr:col>4</xdr:col>
      <xdr:colOff>368300</xdr:colOff>
      <xdr:row>1</xdr:row>
      <xdr:rowOff>139700</xdr:rowOff>
    </xdr:to>
    <xdr:sp macro="" textlink="">
      <xdr:nvSpPr>
        <xdr:cNvPr id="76803" name="WasteHelp" hidden="1">
          <a:extLst>
            <a:ext uri="{63B3BB69-23CF-44E3-9099-C40C66FF867C}">
              <a14:compatExt xmlns:a14="http://schemas.microsoft.com/office/drawing/2010/main" spid="_x0000_s76803"/>
            </a:ext>
            <a:ext uri="{FF2B5EF4-FFF2-40B4-BE49-F238E27FC236}">
              <a16:creationId xmlns:a16="http://schemas.microsoft.com/office/drawing/2014/main" id="{00000000-0008-0000-0D00-0000032C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76200</xdr:colOff>
      <xdr:row>1</xdr:row>
      <xdr:rowOff>180975</xdr:rowOff>
    </xdr:from>
    <xdr:to>
      <xdr:col>5</xdr:col>
      <xdr:colOff>164041</xdr:colOff>
      <xdr:row>3</xdr:row>
      <xdr:rowOff>152400</xdr:rowOff>
    </xdr:to>
    <xdr:pic>
      <xdr:nvPicPr>
        <xdr:cNvPr id="5" name="Picture 5">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48250" y="492125"/>
          <a:ext cx="189230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711200</xdr:colOff>
      <xdr:row>0</xdr:row>
      <xdr:rowOff>139700</xdr:rowOff>
    </xdr:from>
    <xdr:to>
      <xdr:col>0</xdr:col>
      <xdr:colOff>1663700</xdr:colOff>
      <xdr:row>1</xdr:row>
      <xdr:rowOff>139700</xdr:rowOff>
    </xdr:to>
    <xdr:pic>
      <xdr:nvPicPr>
        <xdr:cNvPr id="2" name="CommandButton1">
          <a:extLst>
            <a:ext uri="{FF2B5EF4-FFF2-40B4-BE49-F238E27FC236}">
              <a16:creationId xmlns:a16="http://schemas.microsoft.com/office/drawing/2014/main" id="{00000000-0008-0000-0D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200" y="139700"/>
          <a:ext cx="952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0</xdr:col>
      <xdr:colOff>1879600</xdr:colOff>
      <xdr:row>0</xdr:row>
      <xdr:rowOff>139700</xdr:rowOff>
    </xdr:from>
    <xdr:to>
      <xdr:col>1</xdr:col>
      <xdr:colOff>25400</xdr:colOff>
      <xdr:row>1</xdr:row>
      <xdr:rowOff>139700</xdr:rowOff>
    </xdr:to>
    <xdr:pic>
      <xdr:nvPicPr>
        <xdr:cNvPr id="3" name="CommandButton2">
          <a:extLst>
            <a:ext uri="{FF2B5EF4-FFF2-40B4-BE49-F238E27FC236}">
              <a16:creationId xmlns:a16="http://schemas.microsoft.com/office/drawing/2014/main" id="{00000000-0008-0000-0D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9600" y="139700"/>
          <a:ext cx="17399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139700</xdr:colOff>
      <xdr:row>0</xdr:row>
      <xdr:rowOff>139700</xdr:rowOff>
    </xdr:from>
    <xdr:to>
      <xdr:col>4</xdr:col>
      <xdr:colOff>368300</xdr:colOff>
      <xdr:row>1</xdr:row>
      <xdr:rowOff>139700</xdr:rowOff>
    </xdr:to>
    <xdr:pic>
      <xdr:nvPicPr>
        <xdr:cNvPr id="4" name="WasteHelp">
          <a:extLst>
            <a:ext uri="{FF2B5EF4-FFF2-40B4-BE49-F238E27FC236}">
              <a16:creationId xmlns:a16="http://schemas.microsoft.com/office/drawing/2014/main" id="{00000000-0008-0000-0D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55000" y="139700"/>
          <a:ext cx="10541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139700</xdr:colOff>
      <xdr:row>0</xdr:row>
      <xdr:rowOff>139700</xdr:rowOff>
    </xdr:from>
    <xdr:to>
      <xdr:col>1</xdr:col>
      <xdr:colOff>1054100</xdr:colOff>
      <xdr:row>1</xdr:row>
      <xdr:rowOff>139700</xdr:rowOff>
    </xdr:to>
    <xdr:sp macro="" textlink="">
      <xdr:nvSpPr>
        <xdr:cNvPr id="25018" name="CommandButton1" hidden="1">
          <a:extLst>
            <a:ext uri="{63B3BB69-23CF-44E3-9099-C40C66FF867C}">
              <a14:compatExt xmlns:a14="http://schemas.microsoft.com/office/drawing/2010/main" spid="_x0000_s25018"/>
            </a:ext>
            <a:ext uri="{FF2B5EF4-FFF2-40B4-BE49-F238E27FC236}">
              <a16:creationId xmlns:a16="http://schemas.microsoft.com/office/drawing/2014/main" id="{00000000-0008-0000-0E00-0000BA61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1244600</xdr:colOff>
      <xdr:row>0</xdr:row>
      <xdr:rowOff>139700</xdr:rowOff>
    </xdr:from>
    <xdr:to>
      <xdr:col>2</xdr:col>
      <xdr:colOff>304800</xdr:colOff>
      <xdr:row>1</xdr:row>
      <xdr:rowOff>139700</xdr:rowOff>
    </xdr:to>
    <xdr:sp macro="" textlink="">
      <xdr:nvSpPr>
        <xdr:cNvPr id="25019" name="CommandButton2" hidden="1">
          <a:extLst>
            <a:ext uri="{63B3BB69-23CF-44E3-9099-C40C66FF867C}">
              <a14:compatExt xmlns:a14="http://schemas.microsoft.com/office/drawing/2010/main" spid="_x0000_s25019"/>
            </a:ext>
            <a:ext uri="{FF2B5EF4-FFF2-40B4-BE49-F238E27FC236}">
              <a16:creationId xmlns:a16="http://schemas.microsoft.com/office/drawing/2014/main" id="{00000000-0008-0000-0E00-0000BB61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495300</xdr:colOff>
      <xdr:row>0</xdr:row>
      <xdr:rowOff>139700</xdr:rowOff>
    </xdr:from>
    <xdr:to>
      <xdr:col>4</xdr:col>
      <xdr:colOff>596900</xdr:colOff>
      <xdr:row>1</xdr:row>
      <xdr:rowOff>139700</xdr:rowOff>
    </xdr:to>
    <xdr:sp macro="" textlink="">
      <xdr:nvSpPr>
        <xdr:cNvPr id="25020" name="CommandButton3" hidden="1">
          <a:extLst>
            <a:ext uri="{63B3BB69-23CF-44E3-9099-C40C66FF867C}">
              <a14:compatExt xmlns:a14="http://schemas.microsoft.com/office/drawing/2010/main" spid="_x0000_s25020"/>
            </a:ext>
            <a:ext uri="{FF2B5EF4-FFF2-40B4-BE49-F238E27FC236}">
              <a16:creationId xmlns:a16="http://schemas.microsoft.com/office/drawing/2014/main" id="{00000000-0008-0000-0E00-0000BC61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742950</xdr:colOff>
      <xdr:row>1</xdr:row>
      <xdr:rowOff>161925</xdr:rowOff>
    </xdr:from>
    <xdr:to>
      <xdr:col>4</xdr:col>
      <xdr:colOff>742950</xdr:colOff>
      <xdr:row>3</xdr:row>
      <xdr:rowOff>133350</xdr:rowOff>
    </xdr:to>
    <xdr:pic>
      <xdr:nvPicPr>
        <xdr:cNvPr id="55404" name="Picture 6">
          <a:extLst>
            <a:ext uri="{FF2B5EF4-FFF2-40B4-BE49-F238E27FC236}">
              <a16:creationId xmlns:a16="http://schemas.microsoft.com/office/drawing/2014/main" id="{00000000-0008-0000-0E00-00006CD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3562350"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139700</xdr:colOff>
      <xdr:row>0</xdr:row>
      <xdr:rowOff>139700</xdr:rowOff>
    </xdr:from>
    <xdr:to>
      <xdr:col>1</xdr:col>
      <xdr:colOff>1054100</xdr:colOff>
      <xdr:row>1</xdr:row>
      <xdr:rowOff>139700</xdr:rowOff>
    </xdr:to>
    <xdr:pic>
      <xdr:nvPicPr>
        <xdr:cNvPr id="2" name="CommandButton1">
          <a:extLst>
            <a:ext uri="{FF2B5EF4-FFF2-40B4-BE49-F238E27FC236}">
              <a16:creationId xmlns:a16="http://schemas.microsoft.com/office/drawing/2014/main" id="{00000000-0008-0000-0E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1</xdr:col>
      <xdr:colOff>1244600</xdr:colOff>
      <xdr:row>0</xdr:row>
      <xdr:rowOff>139700</xdr:rowOff>
    </xdr:from>
    <xdr:to>
      <xdr:col>2</xdr:col>
      <xdr:colOff>304800</xdr:colOff>
      <xdr:row>1</xdr:row>
      <xdr:rowOff>139700</xdr:rowOff>
    </xdr:to>
    <xdr:pic>
      <xdr:nvPicPr>
        <xdr:cNvPr id="3" name="CommandButton2">
          <a:extLst>
            <a:ext uri="{FF2B5EF4-FFF2-40B4-BE49-F238E27FC236}">
              <a16:creationId xmlns:a16="http://schemas.microsoft.com/office/drawing/2014/main" id="{00000000-0008-0000-0E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17700" y="139700"/>
          <a:ext cx="16129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495300</xdr:colOff>
      <xdr:row>0</xdr:row>
      <xdr:rowOff>139700</xdr:rowOff>
    </xdr:from>
    <xdr:to>
      <xdr:col>4</xdr:col>
      <xdr:colOff>596900</xdr:colOff>
      <xdr:row>1</xdr:row>
      <xdr:rowOff>139700</xdr:rowOff>
    </xdr:to>
    <xdr:pic>
      <xdr:nvPicPr>
        <xdr:cNvPr id="4" name="CommandButton3">
          <a:extLst>
            <a:ext uri="{FF2B5EF4-FFF2-40B4-BE49-F238E27FC236}">
              <a16:creationId xmlns:a16="http://schemas.microsoft.com/office/drawing/2014/main" id="{00000000-0008-0000-0E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1400" y="139700"/>
          <a:ext cx="10541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711200</xdr:colOff>
      <xdr:row>0</xdr:row>
      <xdr:rowOff>139700</xdr:rowOff>
    </xdr:from>
    <xdr:to>
      <xdr:col>0</xdr:col>
      <xdr:colOff>1625600</xdr:colOff>
      <xdr:row>1</xdr:row>
      <xdr:rowOff>139700</xdr:rowOff>
    </xdr:to>
    <xdr:sp macro="" textlink="">
      <xdr:nvSpPr>
        <xdr:cNvPr id="10299" name="CommandButton1" hidden="1">
          <a:extLst>
            <a:ext uri="{63B3BB69-23CF-44E3-9099-C40C66FF867C}">
              <a14:compatExt xmlns:a14="http://schemas.microsoft.com/office/drawing/2010/main" spid="_x0000_s10299"/>
            </a:ext>
            <a:ext uri="{FF2B5EF4-FFF2-40B4-BE49-F238E27FC236}">
              <a16:creationId xmlns:a16="http://schemas.microsoft.com/office/drawing/2014/main" id="{00000000-0008-0000-0F00-00003B2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0</xdr:col>
      <xdr:colOff>1828800</xdr:colOff>
      <xdr:row>0</xdr:row>
      <xdr:rowOff>139700</xdr:rowOff>
    </xdr:from>
    <xdr:to>
      <xdr:col>1</xdr:col>
      <xdr:colOff>1092200</xdr:colOff>
      <xdr:row>1</xdr:row>
      <xdr:rowOff>139700</xdr:rowOff>
    </xdr:to>
    <xdr:sp macro="" textlink="">
      <xdr:nvSpPr>
        <xdr:cNvPr id="10300" name="CommandButton2" hidden="1">
          <a:extLst>
            <a:ext uri="{63B3BB69-23CF-44E3-9099-C40C66FF867C}">
              <a14:compatExt xmlns:a14="http://schemas.microsoft.com/office/drawing/2010/main" spid="_x0000_s10300"/>
            </a:ext>
            <a:ext uri="{FF2B5EF4-FFF2-40B4-BE49-F238E27FC236}">
              <a16:creationId xmlns:a16="http://schemas.microsoft.com/office/drawing/2014/main" id="{00000000-0008-0000-0F00-00003C2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361950</xdr:colOff>
      <xdr:row>0</xdr:row>
      <xdr:rowOff>200025</xdr:rowOff>
    </xdr:from>
    <xdr:to>
      <xdr:col>3</xdr:col>
      <xdr:colOff>1047750</xdr:colOff>
      <xdr:row>2</xdr:row>
      <xdr:rowOff>158750</xdr:rowOff>
    </xdr:to>
    <xdr:pic>
      <xdr:nvPicPr>
        <xdr:cNvPr id="11216" name="Picture 4">
          <a:extLst>
            <a:ext uri="{FF2B5EF4-FFF2-40B4-BE49-F238E27FC236}">
              <a16:creationId xmlns:a16="http://schemas.microsoft.com/office/drawing/2014/main" id="{00000000-0008-0000-0F00-0000D02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000500" y="200025"/>
          <a:ext cx="2257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711200</xdr:colOff>
      <xdr:row>0</xdr:row>
      <xdr:rowOff>139700</xdr:rowOff>
    </xdr:from>
    <xdr:to>
      <xdr:col>0</xdr:col>
      <xdr:colOff>1625600</xdr:colOff>
      <xdr:row>1</xdr:row>
      <xdr:rowOff>139700</xdr:rowOff>
    </xdr:to>
    <xdr:pic>
      <xdr:nvPicPr>
        <xdr:cNvPr id="2" name="CommandButton1">
          <a:extLst>
            <a:ext uri="{FF2B5EF4-FFF2-40B4-BE49-F238E27FC236}">
              <a16:creationId xmlns:a16="http://schemas.microsoft.com/office/drawing/2014/main" id="{00000000-0008-0000-0F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2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0</xdr:col>
      <xdr:colOff>1828800</xdr:colOff>
      <xdr:row>0</xdr:row>
      <xdr:rowOff>139700</xdr:rowOff>
    </xdr:from>
    <xdr:to>
      <xdr:col>1</xdr:col>
      <xdr:colOff>1092200</xdr:colOff>
      <xdr:row>1</xdr:row>
      <xdr:rowOff>139700</xdr:rowOff>
    </xdr:to>
    <xdr:pic>
      <xdr:nvPicPr>
        <xdr:cNvPr id="3" name="CommandButton2">
          <a:extLst>
            <a:ext uri="{FF2B5EF4-FFF2-40B4-BE49-F238E27FC236}">
              <a16:creationId xmlns:a16="http://schemas.microsoft.com/office/drawing/2014/main" id="{00000000-0008-0000-0F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28800" y="139700"/>
          <a:ext cx="1587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711200</xdr:colOff>
      <xdr:row>0</xdr:row>
      <xdr:rowOff>139700</xdr:rowOff>
    </xdr:from>
    <xdr:to>
      <xdr:col>0</xdr:col>
      <xdr:colOff>1625600</xdr:colOff>
      <xdr:row>1</xdr:row>
      <xdr:rowOff>139700</xdr:rowOff>
    </xdr:to>
    <xdr:sp macro="" textlink="">
      <xdr:nvSpPr>
        <xdr:cNvPr id="25602" name="CommandButton1" hidden="1">
          <a:extLst>
            <a:ext uri="{63B3BB69-23CF-44E3-9099-C40C66FF867C}">
              <a14:compatExt xmlns:a14="http://schemas.microsoft.com/office/drawing/2010/main"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0</xdr:col>
      <xdr:colOff>1828800</xdr:colOff>
      <xdr:row>0</xdr:row>
      <xdr:rowOff>139700</xdr:rowOff>
    </xdr:from>
    <xdr:to>
      <xdr:col>1</xdr:col>
      <xdr:colOff>1206500</xdr:colOff>
      <xdr:row>1</xdr:row>
      <xdr:rowOff>139700</xdr:rowOff>
    </xdr:to>
    <xdr:sp macro="" textlink="">
      <xdr:nvSpPr>
        <xdr:cNvPr id="25603" name="CommandButton2" hidden="1">
          <a:extLst>
            <a:ext uri="{63B3BB69-23CF-44E3-9099-C40C66FF867C}">
              <a14:compatExt xmlns:a14="http://schemas.microsoft.com/office/drawing/2010/main"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203200</xdr:colOff>
      <xdr:row>0</xdr:row>
      <xdr:rowOff>139700</xdr:rowOff>
    </xdr:from>
    <xdr:to>
      <xdr:col>4</xdr:col>
      <xdr:colOff>330200</xdr:colOff>
      <xdr:row>1</xdr:row>
      <xdr:rowOff>139700</xdr:rowOff>
    </xdr:to>
    <xdr:sp macro="" textlink="">
      <xdr:nvSpPr>
        <xdr:cNvPr id="25852" name="CommandButton3" hidden="1">
          <a:extLst>
            <a:ext uri="{63B3BB69-23CF-44E3-9099-C40C66FF867C}">
              <a14:compatExt xmlns:a14="http://schemas.microsoft.com/office/drawing/2010/main" spid="_x0000_s25852"/>
            </a:ext>
            <a:ext uri="{FF2B5EF4-FFF2-40B4-BE49-F238E27FC236}">
              <a16:creationId xmlns:a16="http://schemas.microsoft.com/office/drawing/2014/main" id="{00000000-0008-0000-1000-0000FC6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711200</xdr:colOff>
      <xdr:row>0</xdr:row>
      <xdr:rowOff>139700</xdr:rowOff>
    </xdr:from>
    <xdr:to>
      <xdr:col>5</xdr:col>
      <xdr:colOff>673100</xdr:colOff>
      <xdr:row>1</xdr:row>
      <xdr:rowOff>139700</xdr:rowOff>
    </xdr:to>
    <xdr:sp macro="" textlink="">
      <xdr:nvSpPr>
        <xdr:cNvPr id="26016" name="CommandButton4" hidden="1">
          <a:extLst>
            <a:ext uri="{63B3BB69-23CF-44E3-9099-C40C66FF867C}">
              <a14:compatExt xmlns:a14="http://schemas.microsoft.com/office/drawing/2010/main" spid="_x0000_s26016"/>
            </a:ext>
            <a:ext uri="{FF2B5EF4-FFF2-40B4-BE49-F238E27FC236}">
              <a16:creationId xmlns:a16="http://schemas.microsoft.com/office/drawing/2014/main" id="{00000000-0008-0000-1000-0000A065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0</xdr:colOff>
      <xdr:row>1</xdr:row>
      <xdr:rowOff>295275</xdr:rowOff>
    </xdr:from>
    <xdr:to>
      <xdr:col>5</xdr:col>
      <xdr:colOff>742950</xdr:colOff>
      <xdr:row>4</xdr:row>
      <xdr:rowOff>104775</xdr:rowOff>
    </xdr:to>
    <xdr:pic>
      <xdr:nvPicPr>
        <xdr:cNvPr id="26527" name="Picture 6">
          <a:extLst>
            <a:ext uri="{FF2B5EF4-FFF2-40B4-BE49-F238E27FC236}">
              <a16:creationId xmlns:a16="http://schemas.microsoft.com/office/drawing/2014/main" id="{00000000-0008-0000-1000-00009F6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76850" y="6096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711200</xdr:colOff>
      <xdr:row>0</xdr:row>
      <xdr:rowOff>139700</xdr:rowOff>
    </xdr:from>
    <xdr:to>
      <xdr:col>0</xdr:col>
      <xdr:colOff>1625600</xdr:colOff>
      <xdr:row>1</xdr:row>
      <xdr:rowOff>139700</xdr:rowOff>
    </xdr:to>
    <xdr:pic>
      <xdr:nvPicPr>
        <xdr:cNvPr id="2" name="CommandButton1">
          <a:extLst>
            <a:ext uri="{FF2B5EF4-FFF2-40B4-BE49-F238E27FC236}">
              <a16:creationId xmlns:a16="http://schemas.microsoft.com/office/drawing/2014/main" id="{00000000-0008-0000-10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12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0</xdr:col>
      <xdr:colOff>1828800</xdr:colOff>
      <xdr:row>0</xdr:row>
      <xdr:rowOff>139700</xdr:rowOff>
    </xdr:from>
    <xdr:to>
      <xdr:col>1</xdr:col>
      <xdr:colOff>1206500</xdr:colOff>
      <xdr:row>1</xdr:row>
      <xdr:rowOff>139700</xdr:rowOff>
    </xdr:to>
    <xdr:pic>
      <xdr:nvPicPr>
        <xdr:cNvPr id="3" name="CommandButton2">
          <a:extLst>
            <a:ext uri="{FF2B5EF4-FFF2-40B4-BE49-F238E27FC236}">
              <a16:creationId xmlns:a16="http://schemas.microsoft.com/office/drawing/2014/main" id="{00000000-0008-0000-10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28800" y="139700"/>
          <a:ext cx="15748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203200</xdr:colOff>
      <xdr:row>0</xdr:row>
      <xdr:rowOff>139700</xdr:rowOff>
    </xdr:from>
    <xdr:to>
      <xdr:col>4</xdr:col>
      <xdr:colOff>330200</xdr:colOff>
      <xdr:row>1</xdr:row>
      <xdr:rowOff>139700</xdr:rowOff>
    </xdr:to>
    <xdr:pic>
      <xdr:nvPicPr>
        <xdr:cNvPr id="4" name="CommandButton3">
          <a:extLst>
            <a:ext uri="{FF2B5EF4-FFF2-40B4-BE49-F238E27FC236}">
              <a16:creationId xmlns:a16="http://schemas.microsoft.com/office/drawing/2014/main" id="{00000000-0008-0000-10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65600" y="139700"/>
          <a:ext cx="218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711200</xdr:colOff>
      <xdr:row>0</xdr:row>
      <xdr:rowOff>139700</xdr:rowOff>
    </xdr:from>
    <xdr:to>
      <xdr:col>5</xdr:col>
      <xdr:colOff>673100</xdr:colOff>
      <xdr:row>1</xdr:row>
      <xdr:rowOff>139700</xdr:rowOff>
    </xdr:to>
    <xdr:pic>
      <xdr:nvPicPr>
        <xdr:cNvPr id="5" name="CommandButton4">
          <a:extLst>
            <a:ext uri="{FF2B5EF4-FFF2-40B4-BE49-F238E27FC236}">
              <a16:creationId xmlns:a16="http://schemas.microsoft.com/office/drawing/2014/main" id="{00000000-0008-0000-10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1000" y="139700"/>
          <a:ext cx="11938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723900</xdr:colOff>
      <xdr:row>0</xdr:row>
      <xdr:rowOff>152400</xdr:rowOff>
    </xdr:from>
    <xdr:to>
      <xdr:col>0</xdr:col>
      <xdr:colOff>1638300</xdr:colOff>
      <xdr:row>1</xdr:row>
      <xdr:rowOff>152400</xdr:rowOff>
    </xdr:to>
    <xdr:sp macro="" textlink="">
      <xdr:nvSpPr>
        <xdr:cNvPr id="28673" name="CommandButton1" hidden="1">
          <a:extLst>
            <a:ext uri="{63B3BB69-23CF-44E3-9099-C40C66FF867C}">
              <a14:compatExt xmlns:a14="http://schemas.microsoft.com/office/drawing/2010/main" spid="_x0000_s28673"/>
            </a:ext>
            <a:ext uri="{FF2B5EF4-FFF2-40B4-BE49-F238E27FC236}">
              <a16:creationId xmlns:a16="http://schemas.microsoft.com/office/drawing/2014/main" id="{00000000-0008-0000-1100-0000017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0</xdr:col>
      <xdr:colOff>1828800</xdr:colOff>
      <xdr:row>0</xdr:row>
      <xdr:rowOff>139700</xdr:rowOff>
    </xdr:from>
    <xdr:to>
      <xdr:col>1</xdr:col>
      <xdr:colOff>762000</xdr:colOff>
      <xdr:row>1</xdr:row>
      <xdr:rowOff>139700</xdr:rowOff>
    </xdr:to>
    <xdr:sp macro="" textlink="">
      <xdr:nvSpPr>
        <xdr:cNvPr id="28674" name="CommandButton2" hidden="1">
          <a:extLst>
            <a:ext uri="{63B3BB69-23CF-44E3-9099-C40C66FF867C}">
              <a14:compatExt xmlns:a14="http://schemas.microsoft.com/office/drawing/2010/main" spid="_x0000_s28674"/>
            </a:ext>
            <a:ext uri="{FF2B5EF4-FFF2-40B4-BE49-F238E27FC236}">
              <a16:creationId xmlns:a16="http://schemas.microsoft.com/office/drawing/2014/main" id="{00000000-0008-0000-1100-0000027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866775</xdr:colOff>
      <xdr:row>1</xdr:row>
      <xdr:rowOff>47625</xdr:rowOff>
    </xdr:from>
    <xdr:to>
      <xdr:col>3</xdr:col>
      <xdr:colOff>1416050</xdr:colOff>
      <xdr:row>3</xdr:row>
      <xdr:rowOff>19050</xdr:rowOff>
    </xdr:to>
    <xdr:pic>
      <xdr:nvPicPr>
        <xdr:cNvPr id="29622" name="Picture 5">
          <a:extLst>
            <a:ext uri="{FF2B5EF4-FFF2-40B4-BE49-F238E27FC236}">
              <a16:creationId xmlns:a16="http://schemas.microsoft.com/office/drawing/2014/main" id="{00000000-0008-0000-1100-0000B67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343400" y="3619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723900</xdr:colOff>
      <xdr:row>0</xdr:row>
      <xdr:rowOff>152400</xdr:rowOff>
    </xdr:from>
    <xdr:to>
      <xdr:col>0</xdr:col>
      <xdr:colOff>1638300</xdr:colOff>
      <xdr:row>1</xdr:row>
      <xdr:rowOff>152400</xdr:rowOff>
    </xdr:to>
    <xdr:pic>
      <xdr:nvPicPr>
        <xdr:cNvPr id="2" name="CommandButton1">
          <a:extLst>
            <a:ext uri="{FF2B5EF4-FFF2-40B4-BE49-F238E27FC236}">
              <a16:creationId xmlns:a16="http://schemas.microsoft.com/office/drawing/2014/main" id="{00000000-0008-0000-11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1524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0</xdr:col>
      <xdr:colOff>1828800</xdr:colOff>
      <xdr:row>0</xdr:row>
      <xdr:rowOff>139700</xdr:rowOff>
    </xdr:from>
    <xdr:to>
      <xdr:col>1</xdr:col>
      <xdr:colOff>762000</xdr:colOff>
      <xdr:row>1</xdr:row>
      <xdr:rowOff>139700</xdr:rowOff>
    </xdr:to>
    <xdr:pic>
      <xdr:nvPicPr>
        <xdr:cNvPr id="3" name="CommandButton2">
          <a:extLst>
            <a:ext uri="{FF2B5EF4-FFF2-40B4-BE49-F238E27FC236}">
              <a16:creationId xmlns:a16="http://schemas.microsoft.com/office/drawing/2014/main" id="{00000000-0008-0000-11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28800" y="139700"/>
          <a:ext cx="1638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44033" name="CommandButton1" hidden="1">
          <a:extLst>
            <a:ext uri="{63B3BB69-23CF-44E3-9099-C40C66FF867C}">
              <a14:compatExt xmlns:a14="http://schemas.microsoft.com/office/drawing/2010/main" spid="_x0000_s44033"/>
            </a:ext>
            <a:ext uri="{FF2B5EF4-FFF2-40B4-BE49-F238E27FC236}">
              <a16:creationId xmlns:a16="http://schemas.microsoft.com/office/drawing/2014/main" id="{00000000-0008-0000-1300-000001A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4</xdr:col>
          <xdr:colOff>114300</xdr:colOff>
          <xdr:row>0</xdr:row>
          <xdr:rowOff>276225</xdr:rowOff>
        </xdr:from>
        <xdr:to>
          <xdr:col>5</xdr:col>
          <xdr:colOff>114300</xdr:colOff>
          <xdr:row>1</xdr:row>
          <xdr:rowOff>219075</xdr:rowOff>
        </xdr:to>
        <xdr:sp macro="" textlink="">
          <xdr:nvSpPr>
            <xdr:cNvPr id="44065" name="Button 33" hidden="1">
              <a:extLst>
                <a:ext uri="{63B3BB69-23CF-44E3-9099-C40C66FF867C}">
                  <a14:compatExt spid="_x0000_s44065"/>
                </a:ext>
                <a:ext uri="{FF2B5EF4-FFF2-40B4-BE49-F238E27FC236}">
                  <a16:creationId xmlns:a16="http://schemas.microsoft.com/office/drawing/2014/main" id="{00000000-0008-0000-1300-000021A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Data Entry Sheet</a:t>
              </a:r>
            </a:p>
          </xdr:txBody>
        </xdr:sp>
        <xdr:clientData fPrintsWithSheet="0"/>
      </xdr:twoCellAnchor>
    </mc:Choice>
    <mc:Fallback/>
  </mc:AlternateContent>
  <xdr:twoCellAnchor editAs="oneCell">
    <xdr:from>
      <xdr:col>5</xdr:col>
      <xdr:colOff>38100</xdr:colOff>
      <xdr:row>2</xdr:row>
      <xdr:rowOff>57150</xdr:rowOff>
    </xdr:from>
    <xdr:to>
      <xdr:col>5</xdr:col>
      <xdr:colOff>2219325</xdr:colOff>
      <xdr:row>5</xdr:row>
      <xdr:rowOff>95250</xdr:rowOff>
    </xdr:to>
    <xdr:pic>
      <xdr:nvPicPr>
        <xdr:cNvPr id="44688" name="Picture 4">
          <a:extLst>
            <a:ext uri="{FF2B5EF4-FFF2-40B4-BE49-F238E27FC236}">
              <a16:creationId xmlns:a16="http://schemas.microsoft.com/office/drawing/2014/main" id="{00000000-0008-0000-1300-000090A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67325" y="590550"/>
          <a:ext cx="21812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3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101600</xdr:colOff>
      <xdr:row>0</xdr:row>
      <xdr:rowOff>139700</xdr:rowOff>
    </xdr:from>
    <xdr:to>
      <xdr:col>1</xdr:col>
      <xdr:colOff>1016000</xdr:colOff>
      <xdr:row>1</xdr:row>
      <xdr:rowOff>139700</xdr:rowOff>
    </xdr:to>
    <xdr:sp macro="" textlink="">
      <xdr:nvSpPr>
        <xdr:cNvPr id="30756" name="CommandButton1" hidden="1">
          <a:extLst>
            <a:ext uri="{63B3BB69-23CF-44E3-9099-C40C66FF867C}">
              <a14:compatExt xmlns:a14="http://schemas.microsoft.com/office/drawing/2010/main" spid="_x0000_s30756"/>
            </a:ext>
            <a:ext uri="{FF2B5EF4-FFF2-40B4-BE49-F238E27FC236}">
              <a16:creationId xmlns:a16="http://schemas.microsoft.com/office/drawing/2014/main" id="{00000000-0008-0000-0100-0000247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819150</xdr:colOff>
      <xdr:row>0</xdr:row>
      <xdr:rowOff>57150</xdr:rowOff>
    </xdr:from>
    <xdr:to>
      <xdr:col>6</xdr:col>
      <xdr:colOff>123825</xdr:colOff>
      <xdr:row>1</xdr:row>
      <xdr:rowOff>285750</xdr:rowOff>
    </xdr:to>
    <xdr:pic>
      <xdr:nvPicPr>
        <xdr:cNvPr id="31515" name="Picture 3">
          <a:extLst>
            <a:ext uri="{FF2B5EF4-FFF2-40B4-BE49-F238E27FC236}">
              <a16:creationId xmlns:a16="http://schemas.microsoft.com/office/drawing/2014/main" id="{00000000-0008-0000-0100-00001B7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276725" y="57150"/>
          <a:ext cx="20764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101600</xdr:colOff>
      <xdr:row>0</xdr:row>
      <xdr:rowOff>139700</xdr:rowOff>
    </xdr:from>
    <xdr:to>
      <xdr:col>1</xdr:col>
      <xdr:colOff>1016000</xdr:colOff>
      <xdr:row>1</xdr:row>
      <xdr:rowOff>139700</xdr:rowOff>
    </xdr:to>
    <xdr:pic>
      <xdr:nvPicPr>
        <xdr:cNvPr id="2" name="CommandButton1">
          <a:extLst>
            <a:ext uri="{FF2B5EF4-FFF2-40B4-BE49-F238E27FC236}">
              <a16:creationId xmlns:a16="http://schemas.microsoft.com/office/drawing/2014/main" id="{00000000-0008-0000-01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7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33793" name="CommandButton1" hidden="1">
          <a:extLst>
            <a:ext uri="{63B3BB69-23CF-44E3-9099-C40C66FF867C}">
              <a14:compatExt xmlns:a14="http://schemas.microsoft.com/office/drawing/2010/main" spid="_x0000_s33793"/>
            </a:ext>
            <a:ext uri="{FF2B5EF4-FFF2-40B4-BE49-F238E27FC236}">
              <a16:creationId xmlns:a16="http://schemas.microsoft.com/office/drawing/2014/main" id="{00000000-0008-0000-1400-0000018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33794" name="CommandButton2" hidden="1">
          <a:extLst>
            <a:ext uri="{63B3BB69-23CF-44E3-9099-C40C66FF867C}">
              <a14:compatExt xmlns:a14="http://schemas.microsoft.com/office/drawing/2010/main" spid="_x0000_s33794"/>
            </a:ext>
            <a:ext uri="{FF2B5EF4-FFF2-40B4-BE49-F238E27FC236}">
              <a16:creationId xmlns:a16="http://schemas.microsoft.com/office/drawing/2014/main" id="{00000000-0008-0000-1400-0000028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673100</xdr:colOff>
      <xdr:row>0</xdr:row>
      <xdr:rowOff>139700</xdr:rowOff>
    </xdr:from>
    <xdr:to>
      <xdr:col>3</xdr:col>
      <xdr:colOff>635000</xdr:colOff>
      <xdr:row>1</xdr:row>
      <xdr:rowOff>139700</xdr:rowOff>
    </xdr:to>
    <xdr:sp macro="" textlink="">
      <xdr:nvSpPr>
        <xdr:cNvPr id="33795" name="CommandButton4" hidden="1">
          <a:extLst>
            <a:ext uri="{63B3BB69-23CF-44E3-9099-C40C66FF867C}">
              <a14:compatExt xmlns:a14="http://schemas.microsoft.com/office/drawing/2010/main" spid="_x0000_s33795"/>
            </a:ext>
            <a:ext uri="{FF2B5EF4-FFF2-40B4-BE49-F238E27FC236}">
              <a16:creationId xmlns:a16="http://schemas.microsoft.com/office/drawing/2014/main" id="{00000000-0008-0000-1400-0000038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104775</xdr:colOff>
      <xdr:row>0</xdr:row>
      <xdr:rowOff>104775</xdr:rowOff>
    </xdr:from>
    <xdr:to>
      <xdr:col>5</xdr:col>
      <xdr:colOff>923925</xdr:colOff>
      <xdr:row>1</xdr:row>
      <xdr:rowOff>266700</xdr:rowOff>
    </xdr:to>
    <xdr:pic>
      <xdr:nvPicPr>
        <xdr:cNvPr id="34493" name="Picture 5">
          <a:extLst>
            <a:ext uri="{FF2B5EF4-FFF2-40B4-BE49-F238E27FC236}">
              <a16:creationId xmlns:a16="http://schemas.microsoft.com/office/drawing/2014/main" id="{00000000-0008-0000-1400-0000BD8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981575" y="104775"/>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4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4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673100</xdr:colOff>
      <xdr:row>0</xdr:row>
      <xdr:rowOff>139700</xdr:rowOff>
    </xdr:from>
    <xdr:to>
      <xdr:col>3</xdr:col>
      <xdr:colOff>635000</xdr:colOff>
      <xdr:row>1</xdr:row>
      <xdr:rowOff>139700</xdr:rowOff>
    </xdr:to>
    <xdr:pic>
      <xdr:nvPicPr>
        <xdr:cNvPr id="4" name="CommandButton4">
          <a:extLst>
            <a:ext uri="{FF2B5EF4-FFF2-40B4-BE49-F238E27FC236}">
              <a16:creationId xmlns:a16="http://schemas.microsoft.com/office/drawing/2014/main" id="{00000000-0008-0000-14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00500" y="139700"/>
          <a:ext cx="13970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34817" name="CommandButton1" hidden="1">
          <a:extLst>
            <a:ext uri="{63B3BB69-23CF-44E3-9099-C40C66FF867C}">
              <a14:compatExt xmlns:a14="http://schemas.microsoft.com/office/drawing/2010/main" spid="_x0000_s34817"/>
            </a:ext>
            <a:ext uri="{FF2B5EF4-FFF2-40B4-BE49-F238E27FC236}">
              <a16:creationId xmlns:a16="http://schemas.microsoft.com/office/drawing/2014/main" id="{00000000-0008-0000-1500-0000018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34818" name="CommandButton2" hidden="1">
          <a:extLst>
            <a:ext uri="{63B3BB69-23CF-44E3-9099-C40C66FF867C}">
              <a14:compatExt xmlns:a14="http://schemas.microsoft.com/office/drawing/2010/main" spid="_x0000_s34818"/>
            </a:ext>
            <a:ext uri="{FF2B5EF4-FFF2-40B4-BE49-F238E27FC236}">
              <a16:creationId xmlns:a16="http://schemas.microsoft.com/office/drawing/2014/main" id="{00000000-0008-0000-1500-0000028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285750</xdr:colOff>
      <xdr:row>1</xdr:row>
      <xdr:rowOff>0</xdr:rowOff>
    </xdr:from>
    <xdr:to>
      <xdr:col>5</xdr:col>
      <xdr:colOff>9525</xdr:colOff>
      <xdr:row>2</xdr:row>
      <xdr:rowOff>161925</xdr:rowOff>
    </xdr:to>
    <xdr:pic>
      <xdr:nvPicPr>
        <xdr:cNvPr id="35517" name="Picture 4">
          <a:extLst>
            <a:ext uri="{FF2B5EF4-FFF2-40B4-BE49-F238E27FC236}">
              <a16:creationId xmlns:a16="http://schemas.microsoft.com/office/drawing/2014/main" id="{00000000-0008-0000-1500-0000BD8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95875"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5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5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35841" name="CommandButton1" hidden="1">
          <a:extLst>
            <a:ext uri="{63B3BB69-23CF-44E3-9099-C40C66FF867C}">
              <a14:compatExt xmlns:a14="http://schemas.microsoft.com/office/drawing/2010/main" spid="_x0000_s35841"/>
            </a:ext>
            <a:ext uri="{FF2B5EF4-FFF2-40B4-BE49-F238E27FC236}">
              <a16:creationId xmlns:a16="http://schemas.microsoft.com/office/drawing/2014/main" id="{00000000-0008-0000-1600-0000018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35842" name="CommandButton2" hidden="1">
          <a:extLst>
            <a:ext uri="{63B3BB69-23CF-44E3-9099-C40C66FF867C}">
              <a14:compatExt xmlns:a14="http://schemas.microsoft.com/office/drawing/2010/main" spid="_x0000_s35842"/>
            </a:ext>
            <a:ext uri="{FF2B5EF4-FFF2-40B4-BE49-F238E27FC236}">
              <a16:creationId xmlns:a16="http://schemas.microsoft.com/office/drawing/2014/main" id="{00000000-0008-0000-1600-0000028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247650</xdr:colOff>
      <xdr:row>0</xdr:row>
      <xdr:rowOff>76200</xdr:rowOff>
    </xdr:from>
    <xdr:to>
      <xdr:col>4</xdr:col>
      <xdr:colOff>1019175</xdr:colOff>
      <xdr:row>1</xdr:row>
      <xdr:rowOff>238125</xdr:rowOff>
    </xdr:to>
    <xdr:pic>
      <xdr:nvPicPr>
        <xdr:cNvPr id="36540" name="Picture 4">
          <a:extLst>
            <a:ext uri="{FF2B5EF4-FFF2-40B4-BE49-F238E27FC236}">
              <a16:creationId xmlns:a16="http://schemas.microsoft.com/office/drawing/2014/main" id="{00000000-0008-0000-1600-0000BC8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57775" y="762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6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6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36865" name="CommandButton1" hidden="1">
          <a:extLst>
            <a:ext uri="{63B3BB69-23CF-44E3-9099-C40C66FF867C}">
              <a14:compatExt xmlns:a14="http://schemas.microsoft.com/office/drawing/2010/main" spid="_x0000_s36865"/>
            </a:ext>
            <a:ext uri="{FF2B5EF4-FFF2-40B4-BE49-F238E27FC236}">
              <a16:creationId xmlns:a16="http://schemas.microsoft.com/office/drawing/2014/main" id="{00000000-0008-0000-1700-0000019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36866" name="CommandButton2" hidden="1">
          <a:extLst>
            <a:ext uri="{63B3BB69-23CF-44E3-9099-C40C66FF867C}">
              <a14:compatExt xmlns:a14="http://schemas.microsoft.com/office/drawing/2010/main" spid="_x0000_s36866"/>
            </a:ext>
            <a:ext uri="{FF2B5EF4-FFF2-40B4-BE49-F238E27FC236}">
              <a16:creationId xmlns:a16="http://schemas.microsoft.com/office/drawing/2014/main" id="{00000000-0008-0000-1700-0000029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228600</xdr:colOff>
      <xdr:row>0</xdr:row>
      <xdr:rowOff>95250</xdr:rowOff>
    </xdr:from>
    <xdr:to>
      <xdr:col>4</xdr:col>
      <xdr:colOff>990600</xdr:colOff>
      <xdr:row>1</xdr:row>
      <xdr:rowOff>257175</xdr:rowOff>
    </xdr:to>
    <xdr:pic>
      <xdr:nvPicPr>
        <xdr:cNvPr id="37564" name="Picture 4">
          <a:extLst>
            <a:ext uri="{FF2B5EF4-FFF2-40B4-BE49-F238E27FC236}">
              <a16:creationId xmlns:a16="http://schemas.microsoft.com/office/drawing/2014/main" id="{00000000-0008-0000-1700-0000BC9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38725" y="9525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7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7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46081" name="CommandButton1" hidden="1">
          <a:extLst>
            <a:ext uri="{63B3BB69-23CF-44E3-9099-C40C66FF867C}">
              <a14:compatExt xmlns:a14="http://schemas.microsoft.com/office/drawing/2010/main" spid="_x0000_s46081"/>
            </a:ext>
            <a:ext uri="{FF2B5EF4-FFF2-40B4-BE49-F238E27FC236}">
              <a16:creationId xmlns:a16="http://schemas.microsoft.com/office/drawing/2014/main" id="{00000000-0008-0000-1800-000001B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46082" name="CommandButton2" hidden="1">
          <a:extLst>
            <a:ext uri="{63B3BB69-23CF-44E3-9099-C40C66FF867C}">
              <a14:compatExt xmlns:a14="http://schemas.microsoft.com/office/drawing/2010/main" spid="_x0000_s46082"/>
            </a:ext>
            <a:ext uri="{FF2B5EF4-FFF2-40B4-BE49-F238E27FC236}">
              <a16:creationId xmlns:a16="http://schemas.microsoft.com/office/drawing/2014/main" id="{00000000-0008-0000-1800-000002B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257175</xdr:colOff>
      <xdr:row>0</xdr:row>
      <xdr:rowOff>28575</xdr:rowOff>
    </xdr:from>
    <xdr:to>
      <xdr:col>4</xdr:col>
      <xdr:colOff>1019175</xdr:colOff>
      <xdr:row>1</xdr:row>
      <xdr:rowOff>190500</xdr:rowOff>
    </xdr:to>
    <xdr:pic>
      <xdr:nvPicPr>
        <xdr:cNvPr id="46724" name="Picture 5">
          <a:extLst>
            <a:ext uri="{FF2B5EF4-FFF2-40B4-BE49-F238E27FC236}">
              <a16:creationId xmlns:a16="http://schemas.microsoft.com/office/drawing/2014/main" id="{00000000-0008-0000-1800-000084B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67300" y="28575"/>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8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8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38913" name="CommandButton1" hidden="1">
          <a:extLst>
            <a:ext uri="{63B3BB69-23CF-44E3-9099-C40C66FF867C}">
              <a14:compatExt xmlns:a14="http://schemas.microsoft.com/office/drawing/2010/main" spid="_x0000_s38913"/>
            </a:ext>
            <a:ext uri="{FF2B5EF4-FFF2-40B4-BE49-F238E27FC236}">
              <a16:creationId xmlns:a16="http://schemas.microsoft.com/office/drawing/2014/main" id="{00000000-0008-0000-1900-000001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38914" name="CommandButton2" hidden="1">
          <a:extLst>
            <a:ext uri="{63B3BB69-23CF-44E3-9099-C40C66FF867C}">
              <a14:compatExt xmlns:a14="http://schemas.microsoft.com/office/drawing/2010/main" spid="_x0000_s38914"/>
            </a:ext>
            <a:ext uri="{FF2B5EF4-FFF2-40B4-BE49-F238E27FC236}">
              <a16:creationId xmlns:a16="http://schemas.microsoft.com/office/drawing/2014/main" id="{00000000-0008-0000-1900-000002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0</xdr:colOff>
      <xdr:row>1</xdr:row>
      <xdr:rowOff>0</xdr:rowOff>
    </xdr:from>
    <xdr:to>
      <xdr:col>7</xdr:col>
      <xdr:colOff>371475</xdr:colOff>
      <xdr:row>2</xdr:row>
      <xdr:rowOff>161925</xdr:rowOff>
    </xdr:to>
    <xdr:pic>
      <xdr:nvPicPr>
        <xdr:cNvPr id="39614" name="Picture 4">
          <a:extLst>
            <a:ext uri="{FF2B5EF4-FFF2-40B4-BE49-F238E27FC236}">
              <a16:creationId xmlns:a16="http://schemas.microsoft.com/office/drawing/2014/main" id="{00000000-0008-0000-1900-0000BE9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981700"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914400</xdr:colOff>
      <xdr:row>18</xdr:row>
      <xdr:rowOff>38100</xdr:rowOff>
    </xdr:from>
    <xdr:to>
      <xdr:col>2</xdr:col>
      <xdr:colOff>723900</xdr:colOff>
      <xdr:row>20</xdr:row>
      <xdr:rowOff>25400</xdr:rowOff>
    </xdr:to>
    <xdr:sp macro="" textlink="">
      <xdr:nvSpPr>
        <xdr:cNvPr id="39469" name="CommandButton3" hidden="1">
          <a:extLst>
            <a:ext uri="{63B3BB69-23CF-44E3-9099-C40C66FF867C}">
              <a14:compatExt xmlns:a14="http://schemas.microsoft.com/office/drawing/2010/main" spid="_x0000_s39469"/>
            </a:ext>
            <a:ext uri="{FF2B5EF4-FFF2-40B4-BE49-F238E27FC236}">
              <a16:creationId xmlns:a16="http://schemas.microsoft.com/office/drawing/2014/main" id="{00000000-0008-0000-1900-00002D9A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2</xdr:col>
      <xdr:colOff>444500</xdr:colOff>
      <xdr:row>0</xdr:row>
      <xdr:rowOff>139700</xdr:rowOff>
    </xdr:from>
    <xdr:to>
      <xdr:col>4</xdr:col>
      <xdr:colOff>444500</xdr:colOff>
      <xdr:row>1</xdr:row>
      <xdr:rowOff>139700</xdr:rowOff>
    </xdr:to>
    <xdr:sp macro="" textlink="">
      <xdr:nvSpPr>
        <xdr:cNvPr id="39507" name="CommandButton4" hidden="1">
          <a:extLst>
            <a:ext uri="{63B3BB69-23CF-44E3-9099-C40C66FF867C}">
              <a14:compatExt xmlns:a14="http://schemas.microsoft.com/office/drawing/2010/main" spid="_x0000_s39507"/>
            </a:ext>
            <a:ext uri="{FF2B5EF4-FFF2-40B4-BE49-F238E27FC236}">
              <a16:creationId xmlns:a16="http://schemas.microsoft.com/office/drawing/2014/main" id="{00000000-0008-0000-1900-0000539A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9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9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914400</xdr:colOff>
      <xdr:row>18</xdr:row>
      <xdr:rowOff>38100</xdr:rowOff>
    </xdr:from>
    <xdr:to>
      <xdr:col>2</xdr:col>
      <xdr:colOff>723900</xdr:colOff>
      <xdr:row>20</xdr:row>
      <xdr:rowOff>25400</xdr:rowOff>
    </xdr:to>
    <xdr:pic>
      <xdr:nvPicPr>
        <xdr:cNvPr id="4" name="CommandButton3">
          <a:extLst>
            <a:ext uri="{FF2B5EF4-FFF2-40B4-BE49-F238E27FC236}">
              <a16:creationId xmlns:a16="http://schemas.microsoft.com/office/drawing/2014/main" id="{00000000-0008-0000-19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63700" y="7048500"/>
          <a:ext cx="2387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2</xdr:col>
      <xdr:colOff>444500</xdr:colOff>
      <xdr:row>0</xdr:row>
      <xdr:rowOff>139700</xdr:rowOff>
    </xdr:from>
    <xdr:to>
      <xdr:col>4</xdr:col>
      <xdr:colOff>444500</xdr:colOff>
      <xdr:row>1</xdr:row>
      <xdr:rowOff>139700</xdr:rowOff>
    </xdr:to>
    <xdr:pic>
      <xdr:nvPicPr>
        <xdr:cNvPr id="5" name="CommandButton4">
          <a:extLst>
            <a:ext uri="{FF2B5EF4-FFF2-40B4-BE49-F238E27FC236}">
              <a16:creationId xmlns:a16="http://schemas.microsoft.com/office/drawing/2014/main" id="{00000000-0008-0000-19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71900" y="139700"/>
          <a:ext cx="2362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596900</xdr:colOff>
      <xdr:row>0</xdr:row>
      <xdr:rowOff>241300</xdr:rowOff>
    </xdr:from>
    <xdr:to>
      <xdr:col>1</xdr:col>
      <xdr:colOff>863600</xdr:colOff>
      <xdr:row>1</xdr:row>
      <xdr:rowOff>241300</xdr:rowOff>
    </xdr:to>
    <xdr:sp macro="" textlink="">
      <xdr:nvSpPr>
        <xdr:cNvPr id="32769" name="CommandButton1" hidden="1">
          <a:extLst>
            <a:ext uri="{63B3BB69-23CF-44E3-9099-C40C66FF867C}">
              <a14:compatExt xmlns:a14="http://schemas.microsoft.com/office/drawing/2010/main" spid="_x0000_s32769"/>
            </a:ext>
            <a:ext uri="{FF2B5EF4-FFF2-40B4-BE49-F238E27FC236}">
              <a16:creationId xmlns:a16="http://schemas.microsoft.com/office/drawing/2014/main" id="{00000000-0008-0000-1A00-0000018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1066800</xdr:colOff>
      <xdr:row>0</xdr:row>
      <xdr:rowOff>228600</xdr:rowOff>
    </xdr:from>
    <xdr:to>
      <xdr:col>3</xdr:col>
      <xdr:colOff>228600</xdr:colOff>
      <xdr:row>1</xdr:row>
      <xdr:rowOff>228600</xdr:rowOff>
    </xdr:to>
    <xdr:sp macro="" textlink="">
      <xdr:nvSpPr>
        <xdr:cNvPr id="32770" name="CommandButton2" hidden="1">
          <a:extLst>
            <a:ext uri="{63B3BB69-23CF-44E3-9099-C40C66FF867C}">
              <a14:compatExt xmlns:a14="http://schemas.microsoft.com/office/drawing/2010/main" spid="_x0000_s32770"/>
            </a:ext>
            <a:ext uri="{FF2B5EF4-FFF2-40B4-BE49-F238E27FC236}">
              <a16:creationId xmlns:a16="http://schemas.microsoft.com/office/drawing/2014/main" id="{00000000-0008-0000-1A00-0000028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1</xdr:row>
      <xdr:rowOff>0</xdr:rowOff>
    </xdr:from>
    <xdr:to>
      <xdr:col>10</xdr:col>
      <xdr:colOff>171450</xdr:colOff>
      <xdr:row>2</xdr:row>
      <xdr:rowOff>161925</xdr:rowOff>
    </xdr:to>
    <xdr:pic>
      <xdr:nvPicPr>
        <xdr:cNvPr id="33481" name="Picture 4">
          <a:extLst>
            <a:ext uri="{FF2B5EF4-FFF2-40B4-BE49-F238E27FC236}">
              <a16:creationId xmlns:a16="http://schemas.microsoft.com/office/drawing/2014/main" id="{00000000-0008-0000-1A00-0000C98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8315325"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355600</xdr:colOff>
      <xdr:row>0</xdr:row>
      <xdr:rowOff>228600</xdr:rowOff>
    </xdr:from>
    <xdr:to>
      <xdr:col>3</xdr:col>
      <xdr:colOff>1651000</xdr:colOff>
      <xdr:row>1</xdr:row>
      <xdr:rowOff>228600</xdr:rowOff>
    </xdr:to>
    <xdr:sp macro="" textlink="">
      <xdr:nvSpPr>
        <xdr:cNvPr id="33326" name="CommandButton3" hidden="1">
          <a:extLst>
            <a:ext uri="{63B3BB69-23CF-44E3-9099-C40C66FF867C}">
              <a14:compatExt xmlns:a14="http://schemas.microsoft.com/office/drawing/2010/main" spid="_x0000_s33326"/>
            </a:ext>
            <a:ext uri="{FF2B5EF4-FFF2-40B4-BE49-F238E27FC236}">
              <a16:creationId xmlns:a16="http://schemas.microsoft.com/office/drawing/2014/main" id="{00000000-0008-0000-1A00-00002E82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4</xdr:col>
      <xdr:colOff>50800</xdr:colOff>
      <xdr:row>0</xdr:row>
      <xdr:rowOff>228600</xdr:rowOff>
    </xdr:from>
    <xdr:to>
      <xdr:col>5</xdr:col>
      <xdr:colOff>406400</xdr:colOff>
      <xdr:row>1</xdr:row>
      <xdr:rowOff>228600</xdr:rowOff>
    </xdr:to>
    <xdr:sp macro="" textlink="">
      <xdr:nvSpPr>
        <xdr:cNvPr id="33444" name="CommandButton4" hidden="1">
          <a:extLst>
            <a:ext uri="{63B3BB69-23CF-44E3-9099-C40C66FF867C}">
              <a14:compatExt xmlns:a14="http://schemas.microsoft.com/office/drawing/2010/main" spid="_x0000_s33444"/>
            </a:ext>
            <a:ext uri="{FF2B5EF4-FFF2-40B4-BE49-F238E27FC236}">
              <a16:creationId xmlns:a16="http://schemas.microsoft.com/office/drawing/2014/main" id="{00000000-0008-0000-1A00-0000A482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5</xdr:col>
      <xdr:colOff>520700</xdr:colOff>
      <xdr:row>0</xdr:row>
      <xdr:rowOff>228600</xdr:rowOff>
    </xdr:from>
    <xdr:to>
      <xdr:col>6</xdr:col>
      <xdr:colOff>863600</xdr:colOff>
      <xdr:row>1</xdr:row>
      <xdr:rowOff>228600</xdr:rowOff>
    </xdr:to>
    <xdr:sp macro="" textlink="">
      <xdr:nvSpPr>
        <xdr:cNvPr id="33445" name="CommandButton5" hidden="1">
          <a:extLst>
            <a:ext uri="{63B3BB69-23CF-44E3-9099-C40C66FF867C}">
              <a14:compatExt xmlns:a14="http://schemas.microsoft.com/office/drawing/2010/main" spid="_x0000_s33445"/>
            </a:ext>
            <a:ext uri="{FF2B5EF4-FFF2-40B4-BE49-F238E27FC236}">
              <a16:creationId xmlns:a16="http://schemas.microsoft.com/office/drawing/2014/main" id="{00000000-0008-0000-1A00-0000A582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596900</xdr:colOff>
      <xdr:row>0</xdr:row>
      <xdr:rowOff>241300</xdr:rowOff>
    </xdr:from>
    <xdr:to>
      <xdr:col>1</xdr:col>
      <xdr:colOff>863600</xdr:colOff>
      <xdr:row>1</xdr:row>
      <xdr:rowOff>241300</xdr:rowOff>
    </xdr:to>
    <xdr:pic>
      <xdr:nvPicPr>
        <xdr:cNvPr id="2" name="CommandButton1">
          <a:extLst>
            <a:ext uri="{FF2B5EF4-FFF2-40B4-BE49-F238E27FC236}">
              <a16:creationId xmlns:a16="http://schemas.microsoft.com/office/drawing/2014/main" id="{00000000-0008-0000-1A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6900" y="241300"/>
          <a:ext cx="10160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1066800</xdr:colOff>
      <xdr:row>0</xdr:row>
      <xdr:rowOff>228600</xdr:rowOff>
    </xdr:from>
    <xdr:to>
      <xdr:col>3</xdr:col>
      <xdr:colOff>228600</xdr:colOff>
      <xdr:row>1</xdr:row>
      <xdr:rowOff>228600</xdr:rowOff>
    </xdr:to>
    <xdr:pic>
      <xdr:nvPicPr>
        <xdr:cNvPr id="3" name="CommandButton2">
          <a:extLst>
            <a:ext uri="{FF2B5EF4-FFF2-40B4-BE49-F238E27FC236}">
              <a16:creationId xmlns:a16="http://schemas.microsoft.com/office/drawing/2014/main" id="{00000000-0008-0000-1A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16100" y="228600"/>
          <a:ext cx="1600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3</xdr:col>
      <xdr:colOff>355600</xdr:colOff>
      <xdr:row>0</xdr:row>
      <xdr:rowOff>228600</xdr:rowOff>
    </xdr:from>
    <xdr:to>
      <xdr:col>3</xdr:col>
      <xdr:colOff>1651000</xdr:colOff>
      <xdr:row>1</xdr:row>
      <xdr:rowOff>228600</xdr:rowOff>
    </xdr:to>
    <xdr:pic>
      <xdr:nvPicPr>
        <xdr:cNvPr id="4" name="CommandButton3">
          <a:extLst>
            <a:ext uri="{FF2B5EF4-FFF2-40B4-BE49-F238E27FC236}">
              <a16:creationId xmlns:a16="http://schemas.microsoft.com/office/drawing/2014/main" id="{00000000-0008-0000-1A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43300" y="228600"/>
          <a:ext cx="1295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4</xdr:col>
      <xdr:colOff>50800</xdr:colOff>
      <xdr:row>0</xdr:row>
      <xdr:rowOff>228600</xdr:rowOff>
    </xdr:from>
    <xdr:to>
      <xdr:col>5</xdr:col>
      <xdr:colOff>406400</xdr:colOff>
      <xdr:row>1</xdr:row>
      <xdr:rowOff>228600</xdr:rowOff>
    </xdr:to>
    <xdr:pic>
      <xdr:nvPicPr>
        <xdr:cNvPr id="5" name="CommandButton4">
          <a:extLst>
            <a:ext uri="{FF2B5EF4-FFF2-40B4-BE49-F238E27FC236}">
              <a16:creationId xmlns:a16="http://schemas.microsoft.com/office/drawing/2014/main" id="{00000000-0008-0000-1A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19700" y="228600"/>
          <a:ext cx="14351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5</xdr:col>
      <xdr:colOff>520700</xdr:colOff>
      <xdr:row>0</xdr:row>
      <xdr:rowOff>228600</xdr:rowOff>
    </xdr:from>
    <xdr:to>
      <xdr:col>6</xdr:col>
      <xdr:colOff>863600</xdr:colOff>
      <xdr:row>1</xdr:row>
      <xdr:rowOff>228600</xdr:rowOff>
    </xdr:to>
    <xdr:pic>
      <xdr:nvPicPr>
        <xdr:cNvPr id="6" name="CommandButton5">
          <a:extLst>
            <a:ext uri="{FF2B5EF4-FFF2-40B4-BE49-F238E27FC236}">
              <a16:creationId xmlns:a16="http://schemas.microsoft.com/office/drawing/2014/main" id="{00000000-0008-0000-1A00-000006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69100" y="228600"/>
          <a:ext cx="1422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39937" name="CommandButton1" hidden="1">
          <a:extLst>
            <a:ext uri="{63B3BB69-23CF-44E3-9099-C40C66FF867C}">
              <a14:compatExt xmlns:a14="http://schemas.microsoft.com/office/drawing/2010/main" spid="_x0000_s39937"/>
            </a:ext>
            <a:ext uri="{FF2B5EF4-FFF2-40B4-BE49-F238E27FC236}">
              <a16:creationId xmlns:a16="http://schemas.microsoft.com/office/drawing/2014/main" id="{00000000-0008-0000-1B00-000001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39938" name="CommandButton2" hidden="1">
          <a:extLst>
            <a:ext uri="{63B3BB69-23CF-44E3-9099-C40C66FF867C}">
              <a14:compatExt xmlns:a14="http://schemas.microsoft.com/office/drawing/2010/main" spid="_x0000_s39938"/>
            </a:ext>
            <a:ext uri="{FF2B5EF4-FFF2-40B4-BE49-F238E27FC236}">
              <a16:creationId xmlns:a16="http://schemas.microsoft.com/office/drawing/2014/main" id="{00000000-0008-0000-1B00-000002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673100</xdr:colOff>
      <xdr:row>0</xdr:row>
      <xdr:rowOff>139700</xdr:rowOff>
    </xdr:from>
    <xdr:to>
      <xdr:col>2</xdr:col>
      <xdr:colOff>1892300</xdr:colOff>
      <xdr:row>1</xdr:row>
      <xdr:rowOff>139700</xdr:rowOff>
    </xdr:to>
    <xdr:sp macro="" textlink="">
      <xdr:nvSpPr>
        <xdr:cNvPr id="40045" name="CommandButton3" hidden="1">
          <a:extLst>
            <a:ext uri="{63B3BB69-23CF-44E3-9099-C40C66FF867C}">
              <a14:compatExt xmlns:a14="http://schemas.microsoft.com/office/drawing/2010/main" spid="_x0000_s40045"/>
            </a:ext>
            <a:ext uri="{FF2B5EF4-FFF2-40B4-BE49-F238E27FC236}">
              <a16:creationId xmlns:a16="http://schemas.microsoft.com/office/drawing/2014/main" id="{00000000-0008-0000-1B00-00006D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628650</xdr:colOff>
      <xdr:row>1</xdr:row>
      <xdr:rowOff>142875</xdr:rowOff>
    </xdr:from>
    <xdr:to>
      <xdr:col>5</xdr:col>
      <xdr:colOff>342900</xdr:colOff>
      <xdr:row>3</xdr:row>
      <xdr:rowOff>114300</xdr:rowOff>
    </xdr:to>
    <xdr:pic>
      <xdr:nvPicPr>
        <xdr:cNvPr id="40639" name="Picture 5">
          <a:extLst>
            <a:ext uri="{FF2B5EF4-FFF2-40B4-BE49-F238E27FC236}">
              <a16:creationId xmlns:a16="http://schemas.microsoft.com/office/drawing/2014/main" id="{00000000-0008-0000-1B00-0000BF9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438775" y="45720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50800</xdr:colOff>
      <xdr:row>0</xdr:row>
      <xdr:rowOff>127000</xdr:rowOff>
    </xdr:from>
    <xdr:to>
      <xdr:col>5</xdr:col>
      <xdr:colOff>12700</xdr:colOff>
      <xdr:row>1</xdr:row>
      <xdr:rowOff>127000</xdr:rowOff>
    </xdr:to>
    <xdr:sp macro="" textlink="">
      <xdr:nvSpPr>
        <xdr:cNvPr id="40624" name="CommandButton4" hidden="1">
          <a:extLst>
            <a:ext uri="{63B3BB69-23CF-44E3-9099-C40C66FF867C}">
              <a14:compatExt xmlns:a14="http://schemas.microsoft.com/office/drawing/2010/main" spid="_x0000_s40624"/>
            </a:ext>
            <a:ext uri="{FF2B5EF4-FFF2-40B4-BE49-F238E27FC236}">
              <a16:creationId xmlns:a16="http://schemas.microsoft.com/office/drawing/2014/main" id="{00000000-0008-0000-1B00-0000B09E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B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B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673100</xdr:colOff>
      <xdr:row>0</xdr:row>
      <xdr:rowOff>139700</xdr:rowOff>
    </xdr:from>
    <xdr:to>
      <xdr:col>2</xdr:col>
      <xdr:colOff>1892300</xdr:colOff>
      <xdr:row>1</xdr:row>
      <xdr:rowOff>139700</xdr:rowOff>
    </xdr:to>
    <xdr:pic>
      <xdr:nvPicPr>
        <xdr:cNvPr id="4" name="CommandButton3">
          <a:extLst>
            <a:ext uri="{FF2B5EF4-FFF2-40B4-BE49-F238E27FC236}">
              <a16:creationId xmlns:a16="http://schemas.microsoft.com/office/drawing/2014/main" id="{00000000-0008-0000-1B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00500" y="139700"/>
          <a:ext cx="1219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3</xdr:col>
      <xdr:colOff>50800</xdr:colOff>
      <xdr:row>0</xdr:row>
      <xdr:rowOff>127000</xdr:rowOff>
    </xdr:from>
    <xdr:to>
      <xdr:col>5</xdr:col>
      <xdr:colOff>12700</xdr:colOff>
      <xdr:row>1</xdr:row>
      <xdr:rowOff>127000</xdr:rowOff>
    </xdr:to>
    <xdr:pic>
      <xdr:nvPicPr>
        <xdr:cNvPr id="5" name="CommandButton4">
          <a:extLst>
            <a:ext uri="{FF2B5EF4-FFF2-40B4-BE49-F238E27FC236}">
              <a16:creationId xmlns:a16="http://schemas.microsoft.com/office/drawing/2014/main" id="{00000000-0008-0000-1B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75300" y="127000"/>
          <a:ext cx="23749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40961" name="CommandButton1" hidden="1">
          <a:extLst>
            <a:ext uri="{63B3BB69-23CF-44E3-9099-C40C66FF867C}">
              <a14:compatExt xmlns:a14="http://schemas.microsoft.com/office/drawing/2010/main" spid="_x0000_s40961"/>
            </a:ext>
            <a:ext uri="{FF2B5EF4-FFF2-40B4-BE49-F238E27FC236}">
              <a16:creationId xmlns:a16="http://schemas.microsoft.com/office/drawing/2014/main" id="{00000000-0008-0000-1C00-000001A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40962" name="CommandButton2" hidden="1">
          <a:extLst>
            <a:ext uri="{63B3BB69-23CF-44E3-9099-C40C66FF867C}">
              <a14:compatExt xmlns:a14="http://schemas.microsoft.com/office/drawing/2010/main" spid="_x0000_s40962"/>
            </a:ext>
            <a:ext uri="{FF2B5EF4-FFF2-40B4-BE49-F238E27FC236}">
              <a16:creationId xmlns:a16="http://schemas.microsoft.com/office/drawing/2014/main" id="{00000000-0008-0000-1C00-000002A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219075</xdr:colOff>
      <xdr:row>0</xdr:row>
      <xdr:rowOff>66675</xdr:rowOff>
    </xdr:from>
    <xdr:to>
      <xdr:col>4</xdr:col>
      <xdr:colOff>990600</xdr:colOff>
      <xdr:row>1</xdr:row>
      <xdr:rowOff>228600</xdr:rowOff>
    </xdr:to>
    <xdr:pic>
      <xdr:nvPicPr>
        <xdr:cNvPr id="41660" name="Picture 4">
          <a:extLst>
            <a:ext uri="{FF2B5EF4-FFF2-40B4-BE49-F238E27FC236}">
              <a16:creationId xmlns:a16="http://schemas.microsoft.com/office/drawing/2014/main" id="{00000000-0008-0000-1C00-0000BCA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6667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C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C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41985" name="CommandButton1" hidden="1">
          <a:extLst>
            <a:ext uri="{63B3BB69-23CF-44E3-9099-C40C66FF867C}">
              <a14:compatExt xmlns:a14="http://schemas.microsoft.com/office/drawing/2010/main" spid="_x0000_s41985"/>
            </a:ext>
            <a:ext uri="{FF2B5EF4-FFF2-40B4-BE49-F238E27FC236}">
              <a16:creationId xmlns:a16="http://schemas.microsoft.com/office/drawing/2014/main" id="{00000000-0008-0000-1D00-000001A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41986" name="CommandButton2" hidden="1">
          <a:extLst>
            <a:ext uri="{63B3BB69-23CF-44E3-9099-C40C66FF867C}">
              <a14:compatExt xmlns:a14="http://schemas.microsoft.com/office/drawing/2010/main" spid="_x0000_s41986"/>
            </a:ext>
            <a:ext uri="{FF2B5EF4-FFF2-40B4-BE49-F238E27FC236}">
              <a16:creationId xmlns:a16="http://schemas.microsoft.com/office/drawing/2014/main" id="{00000000-0008-0000-1D00-000002A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209550</xdr:colOff>
      <xdr:row>0</xdr:row>
      <xdr:rowOff>95250</xdr:rowOff>
    </xdr:from>
    <xdr:to>
      <xdr:col>4</xdr:col>
      <xdr:colOff>971550</xdr:colOff>
      <xdr:row>1</xdr:row>
      <xdr:rowOff>257175</xdr:rowOff>
    </xdr:to>
    <xdr:pic>
      <xdr:nvPicPr>
        <xdr:cNvPr id="42684" name="Picture 4">
          <a:extLst>
            <a:ext uri="{FF2B5EF4-FFF2-40B4-BE49-F238E27FC236}">
              <a16:creationId xmlns:a16="http://schemas.microsoft.com/office/drawing/2014/main" id="{00000000-0008-0000-1D00-0000BCA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19675" y="9525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D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D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1206500</xdr:colOff>
      <xdr:row>33</xdr:row>
      <xdr:rowOff>0</xdr:rowOff>
    </xdr:to>
    <xdr:sp macro="" textlink="">
      <xdr:nvSpPr>
        <xdr:cNvPr id="9274" name="Stationary" hidden="1">
          <a:extLst>
            <a:ext uri="{63B3BB69-23CF-44E3-9099-C40C66FF867C}">
              <a14:compatExt xmlns:a14="http://schemas.microsoft.com/office/drawing/2010/main" spid="_x0000_s9274"/>
            </a:ext>
            <a:ext uri="{FF2B5EF4-FFF2-40B4-BE49-F238E27FC236}">
              <a16:creationId xmlns:a16="http://schemas.microsoft.com/office/drawing/2014/main" id="{00000000-0008-0000-0200-00003A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33</xdr:row>
      <xdr:rowOff>12700</xdr:rowOff>
    </xdr:from>
    <xdr:to>
      <xdr:col>1</xdr:col>
      <xdr:colOff>12700</xdr:colOff>
      <xdr:row>34</xdr:row>
      <xdr:rowOff>12700</xdr:rowOff>
    </xdr:to>
    <xdr:sp macro="" textlink="">
      <xdr:nvSpPr>
        <xdr:cNvPr id="9277" name="Mobile" hidden="1">
          <a:extLst>
            <a:ext uri="{63B3BB69-23CF-44E3-9099-C40C66FF867C}">
              <a14:compatExt xmlns:a14="http://schemas.microsoft.com/office/drawing/2010/main" spid="_x0000_s9277"/>
            </a:ext>
            <a:ext uri="{FF2B5EF4-FFF2-40B4-BE49-F238E27FC236}">
              <a16:creationId xmlns:a16="http://schemas.microsoft.com/office/drawing/2014/main" id="{00000000-0008-0000-0200-00003D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34</xdr:row>
      <xdr:rowOff>12700</xdr:rowOff>
    </xdr:from>
    <xdr:to>
      <xdr:col>1</xdr:col>
      <xdr:colOff>12700</xdr:colOff>
      <xdr:row>35</xdr:row>
      <xdr:rowOff>12700</xdr:rowOff>
    </xdr:to>
    <xdr:sp macro="" textlink="">
      <xdr:nvSpPr>
        <xdr:cNvPr id="9278" name="Refrigeration" hidden="1">
          <a:extLst>
            <a:ext uri="{63B3BB69-23CF-44E3-9099-C40C66FF867C}">
              <a14:compatExt xmlns:a14="http://schemas.microsoft.com/office/drawing/2010/main" spid="_x0000_s9278"/>
            </a:ext>
            <a:ext uri="{FF2B5EF4-FFF2-40B4-BE49-F238E27FC236}">
              <a16:creationId xmlns:a16="http://schemas.microsoft.com/office/drawing/2014/main" id="{00000000-0008-0000-0200-00003E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35</xdr:row>
      <xdr:rowOff>12700</xdr:rowOff>
    </xdr:from>
    <xdr:to>
      <xdr:col>1</xdr:col>
      <xdr:colOff>12700</xdr:colOff>
      <xdr:row>36</xdr:row>
      <xdr:rowOff>12700</xdr:rowOff>
    </xdr:to>
    <xdr:sp macro="" textlink="">
      <xdr:nvSpPr>
        <xdr:cNvPr id="9281" name="FireSuppression" hidden="1">
          <a:extLst>
            <a:ext uri="{63B3BB69-23CF-44E3-9099-C40C66FF867C}">
              <a14:compatExt xmlns:a14="http://schemas.microsoft.com/office/drawing/2010/main" spid="_x0000_s9281"/>
            </a:ext>
            <a:ext uri="{FF2B5EF4-FFF2-40B4-BE49-F238E27FC236}">
              <a16:creationId xmlns:a16="http://schemas.microsoft.com/office/drawing/2014/main" id="{00000000-0008-0000-0200-000041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39</xdr:row>
      <xdr:rowOff>0</xdr:rowOff>
    </xdr:from>
    <xdr:to>
      <xdr:col>1</xdr:col>
      <xdr:colOff>12700</xdr:colOff>
      <xdr:row>39</xdr:row>
      <xdr:rowOff>254000</xdr:rowOff>
    </xdr:to>
    <xdr:sp macro="" textlink="">
      <xdr:nvSpPr>
        <xdr:cNvPr id="9282" name="CommandButton4" hidden="1">
          <a:extLst>
            <a:ext uri="{63B3BB69-23CF-44E3-9099-C40C66FF867C}">
              <a14:compatExt xmlns:a14="http://schemas.microsoft.com/office/drawing/2010/main" spid="_x0000_s9282"/>
            </a:ext>
            <a:ext uri="{FF2B5EF4-FFF2-40B4-BE49-F238E27FC236}">
              <a16:creationId xmlns:a16="http://schemas.microsoft.com/office/drawing/2014/main" id="{00000000-0008-0000-0200-000042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39</xdr:row>
      <xdr:rowOff>254000</xdr:rowOff>
    </xdr:from>
    <xdr:to>
      <xdr:col>1</xdr:col>
      <xdr:colOff>12700</xdr:colOff>
      <xdr:row>40</xdr:row>
      <xdr:rowOff>254000</xdr:rowOff>
    </xdr:to>
    <xdr:sp macro="" textlink="">
      <xdr:nvSpPr>
        <xdr:cNvPr id="9283" name="CommandButton6" hidden="1">
          <a:extLst>
            <a:ext uri="{63B3BB69-23CF-44E3-9099-C40C66FF867C}">
              <a14:compatExt xmlns:a14="http://schemas.microsoft.com/office/drawing/2010/main" spid="_x0000_s9283"/>
            </a:ext>
            <a:ext uri="{FF2B5EF4-FFF2-40B4-BE49-F238E27FC236}">
              <a16:creationId xmlns:a16="http://schemas.microsoft.com/office/drawing/2014/main" id="{00000000-0008-0000-0200-000043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57</xdr:row>
      <xdr:rowOff>0</xdr:rowOff>
    </xdr:from>
    <xdr:to>
      <xdr:col>1</xdr:col>
      <xdr:colOff>12700</xdr:colOff>
      <xdr:row>58</xdr:row>
      <xdr:rowOff>0</xdr:rowOff>
    </xdr:to>
    <xdr:sp macro="" textlink="">
      <xdr:nvSpPr>
        <xdr:cNvPr id="9286" name="BizTravel" hidden="1">
          <a:extLst>
            <a:ext uri="{63B3BB69-23CF-44E3-9099-C40C66FF867C}">
              <a14:compatExt xmlns:a14="http://schemas.microsoft.com/office/drawing/2010/main" spid="_x0000_s9286"/>
            </a:ext>
            <a:ext uri="{FF2B5EF4-FFF2-40B4-BE49-F238E27FC236}">
              <a16:creationId xmlns:a16="http://schemas.microsoft.com/office/drawing/2014/main" id="{00000000-0008-0000-0200-000046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51</xdr:row>
      <xdr:rowOff>0</xdr:rowOff>
    </xdr:from>
    <xdr:to>
      <xdr:col>1</xdr:col>
      <xdr:colOff>12700</xdr:colOff>
      <xdr:row>52</xdr:row>
      <xdr:rowOff>0</xdr:rowOff>
    </xdr:to>
    <xdr:sp macro="" textlink="">
      <xdr:nvSpPr>
        <xdr:cNvPr id="9287" name="CommandButton10" hidden="1">
          <a:extLst>
            <a:ext uri="{63B3BB69-23CF-44E3-9099-C40C66FF867C}">
              <a14:compatExt xmlns:a14="http://schemas.microsoft.com/office/drawing/2010/main" spid="_x0000_s9287"/>
            </a:ext>
            <a:ext uri="{FF2B5EF4-FFF2-40B4-BE49-F238E27FC236}">
              <a16:creationId xmlns:a16="http://schemas.microsoft.com/office/drawing/2014/main" id="{00000000-0008-0000-0200-000047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51</xdr:row>
      <xdr:rowOff>12700</xdr:rowOff>
    </xdr:from>
    <xdr:to>
      <xdr:col>1</xdr:col>
      <xdr:colOff>12700</xdr:colOff>
      <xdr:row>52</xdr:row>
      <xdr:rowOff>12700</xdr:rowOff>
    </xdr:to>
    <xdr:sp macro="" textlink="">
      <xdr:nvSpPr>
        <xdr:cNvPr id="9288" name="Offsets" hidden="1">
          <a:extLst>
            <a:ext uri="{63B3BB69-23CF-44E3-9099-C40C66FF867C}">
              <a14:compatExt xmlns:a14="http://schemas.microsoft.com/office/drawing/2010/main" spid="_x0000_s9288"/>
            </a:ext>
            <a:ext uri="{FF2B5EF4-FFF2-40B4-BE49-F238E27FC236}">
              <a16:creationId xmlns:a16="http://schemas.microsoft.com/office/drawing/2014/main" id="{00000000-0008-0000-0200-000048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711200</xdr:colOff>
      <xdr:row>0</xdr:row>
      <xdr:rowOff>139700</xdr:rowOff>
    </xdr:from>
    <xdr:to>
      <xdr:col>1</xdr:col>
      <xdr:colOff>482600</xdr:colOff>
      <xdr:row>1</xdr:row>
      <xdr:rowOff>139700</xdr:rowOff>
    </xdr:to>
    <xdr:sp macro="" textlink="">
      <xdr:nvSpPr>
        <xdr:cNvPr id="9465" name="CommandButton12" hidden="1">
          <a:extLst>
            <a:ext uri="{63B3BB69-23CF-44E3-9099-C40C66FF867C}">
              <a14:compatExt xmlns:a14="http://schemas.microsoft.com/office/drawing/2010/main" spid="_x0000_s9465"/>
            </a:ext>
            <a:ext uri="{FF2B5EF4-FFF2-40B4-BE49-F238E27FC236}">
              <a16:creationId xmlns:a16="http://schemas.microsoft.com/office/drawing/2014/main" id="{00000000-0008-0000-0200-0000F92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36</xdr:row>
      <xdr:rowOff>12700</xdr:rowOff>
    </xdr:from>
    <xdr:to>
      <xdr:col>1</xdr:col>
      <xdr:colOff>12700</xdr:colOff>
      <xdr:row>37</xdr:row>
      <xdr:rowOff>12700</xdr:rowOff>
    </xdr:to>
    <xdr:sp macro="" textlink="">
      <xdr:nvSpPr>
        <xdr:cNvPr id="9749" name="PurchasedGases" hidden="1">
          <a:extLst>
            <a:ext uri="{63B3BB69-23CF-44E3-9099-C40C66FF867C}">
              <a14:compatExt xmlns:a14="http://schemas.microsoft.com/office/drawing/2010/main" spid="_x0000_s9749"/>
            </a:ext>
            <a:ext uri="{FF2B5EF4-FFF2-40B4-BE49-F238E27FC236}">
              <a16:creationId xmlns:a16="http://schemas.microsoft.com/office/drawing/2014/main" id="{00000000-0008-0000-0200-00001526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19050</xdr:colOff>
      <xdr:row>0</xdr:row>
      <xdr:rowOff>85725</xdr:rowOff>
    </xdr:from>
    <xdr:to>
      <xdr:col>6</xdr:col>
      <xdr:colOff>65295</xdr:colOff>
      <xdr:row>2</xdr:row>
      <xdr:rowOff>9525</xdr:rowOff>
    </xdr:to>
    <xdr:pic>
      <xdr:nvPicPr>
        <xdr:cNvPr id="10219" name="Picture 15">
          <a:extLst>
            <a:ext uri="{FF2B5EF4-FFF2-40B4-BE49-F238E27FC236}">
              <a16:creationId xmlns:a16="http://schemas.microsoft.com/office/drawing/2014/main" id="{00000000-0008-0000-0200-0000EB2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3000375" y="85725"/>
          <a:ext cx="2114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43</xdr:row>
      <xdr:rowOff>0</xdr:rowOff>
    </xdr:from>
    <xdr:to>
      <xdr:col>1</xdr:col>
      <xdr:colOff>12700</xdr:colOff>
      <xdr:row>43</xdr:row>
      <xdr:rowOff>254000</xdr:rowOff>
    </xdr:to>
    <xdr:sp macro="" textlink="">
      <xdr:nvSpPr>
        <xdr:cNvPr id="10092" name="Electricity" hidden="1">
          <a:extLst>
            <a:ext uri="{63B3BB69-23CF-44E3-9099-C40C66FF867C}">
              <a14:compatExt xmlns:a14="http://schemas.microsoft.com/office/drawing/2010/main" spid="_x0000_s10092"/>
            </a:ext>
            <a:ext uri="{FF2B5EF4-FFF2-40B4-BE49-F238E27FC236}">
              <a16:creationId xmlns:a16="http://schemas.microsoft.com/office/drawing/2014/main" id="{00000000-0008-0000-0200-00006C2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43</xdr:row>
      <xdr:rowOff>254000</xdr:rowOff>
    </xdr:from>
    <xdr:to>
      <xdr:col>1</xdr:col>
      <xdr:colOff>12700</xdr:colOff>
      <xdr:row>44</xdr:row>
      <xdr:rowOff>254000</xdr:rowOff>
    </xdr:to>
    <xdr:sp macro="" textlink="">
      <xdr:nvSpPr>
        <xdr:cNvPr id="10093" name="Steam" hidden="1">
          <a:extLst>
            <a:ext uri="{63B3BB69-23CF-44E3-9099-C40C66FF867C}">
              <a14:compatExt xmlns:a14="http://schemas.microsoft.com/office/drawing/2010/main" spid="_x0000_s10093"/>
            </a:ext>
            <a:ext uri="{FF2B5EF4-FFF2-40B4-BE49-F238E27FC236}">
              <a16:creationId xmlns:a16="http://schemas.microsoft.com/office/drawing/2014/main" id="{00000000-0008-0000-0200-00006D2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58</xdr:row>
      <xdr:rowOff>12700</xdr:rowOff>
    </xdr:from>
    <xdr:to>
      <xdr:col>1</xdr:col>
      <xdr:colOff>12700</xdr:colOff>
      <xdr:row>59</xdr:row>
      <xdr:rowOff>12700</xdr:rowOff>
    </xdr:to>
    <xdr:sp macro="" textlink="">
      <xdr:nvSpPr>
        <xdr:cNvPr id="10094" name="Commuting" hidden="1">
          <a:extLst>
            <a:ext uri="{63B3BB69-23CF-44E3-9099-C40C66FF867C}">
              <a14:compatExt xmlns:a14="http://schemas.microsoft.com/office/drawing/2010/main" spid="_x0000_s10094"/>
            </a:ext>
            <a:ext uri="{FF2B5EF4-FFF2-40B4-BE49-F238E27FC236}">
              <a16:creationId xmlns:a16="http://schemas.microsoft.com/office/drawing/2014/main" id="{00000000-0008-0000-0200-00006E2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59</xdr:row>
      <xdr:rowOff>25400</xdr:rowOff>
    </xdr:from>
    <xdr:to>
      <xdr:col>1</xdr:col>
      <xdr:colOff>12700</xdr:colOff>
      <xdr:row>60</xdr:row>
      <xdr:rowOff>25400</xdr:rowOff>
    </xdr:to>
    <xdr:sp macro="" textlink="">
      <xdr:nvSpPr>
        <xdr:cNvPr id="10095" name="ProdTransport" hidden="1">
          <a:extLst>
            <a:ext uri="{63B3BB69-23CF-44E3-9099-C40C66FF867C}">
              <a14:compatExt xmlns:a14="http://schemas.microsoft.com/office/drawing/2010/main" spid="_x0000_s10095"/>
            </a:ext>
            <a:ext uri="{FF2B5EF4-FFF2-40B4-BE49-F238E27FC236}">
              <a16:creationId xmlns:a16="http://schemas.microsoft.com/office/drawing/2014/main" id="{00000000-0008-0000-0200-00006F2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63</xdr:row>
      <xdr:rowOff>12700</xdr:rowOff>
    </xdr:from>
    <xdr:to>
      <xdr:col>1</xdr:col>
      <xdr:colOff>12700</xdr:colOff>
      <xdr:row>64</xdr:row>
      <xdr:rowOff>12700</xdr:rowOff>
    </xdr:to>
    <xdr:sp macro="" textlink="">
      <xdr:nvSpPr>
        <xdr:cNvPr id="10096" name="CommandButton1" hidden="1">
          <a:extLst>
            <a:ext uri="{63B3BB69-23CF-44E3-9099-C40C66FF867C}">
              <a14:compatExt xmlns:a14="http://schemas.microsoft.com/office/drawing/2010/main" spid="_x0000_s10096"/>
            </a:ext>
            <a:ext uri="{FF2B5EF4-FFF2-40B4-BE49-F238E27FC236}">
              <a16:creationId xmlns:a16="http://schemas.microsoft.com/office/drawing/2014/main" id="{00000000-0008-0000-0200-0000702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0</xdr:colOff>
      <xdr:row>64</xdr:row>
      <xdr:rowOff>0</xdr:rowOff>
    </xdr:from>
    <xdr:to>
      <xdr:col>1</xdr:col>
      <xdr:colOff>12700</xdr:colOff>
      <xdr:row>65</xdr:row>
      <xdr:rowOff>0</xdr:rowOff>
    </xdr:to>
    <xdr:sp macro="" textlink="">
      <xdr:nvSpPr>
        <xdr:cNvPr id="10097" name="CommandButton2" hidden="1">
          <a:extLst>
            <a:ext uri="{63B3BB69-23CF-44E3-9099-C40C66FF867C}">
              <a14:compatExt xmlns:a14="http://schemas.microsoft.com/office/drawing/2010/main" spid="_x0000_s10097"/>
            </a:ext>
            <a:ext uri="{FF2B5EF4-FFF2-40B4-BE49-F238E27FC236}">
              <a16:creationId xmlns:a16="http://schemas.microsoft.com/office/drawing/2014/main" id="{00000000-0008-0000-0200-0000712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12700</xdr:colOff>
      <xdr:row>60</xdr:row>
      <xdr:rowOff>25400</xdr:rowOff>
    </xdr:from>
    <xdr:to>
      <xdr:col>1</xdr:col>
      <xdr:colOff>25400</xdr:colOff>
      <xdr:row>61</xdr:row>
      <xdr:rowOff>25400</xdr:rowOff>
    </xdr:to>
    <xdr:sp macro="" textlink="">
      <xdr:nvSpPr>
        <xdr:cNvPr id="10098" name="CommandButton3" hidden="1">
          <a:extLst>
            <a:ext uri="{63B3BB69-23CF-44E3-9099-C40C66FF867C}">
              <a14:compatExt xmlns:a14="http://schemas.microsoft.com/office/drawing/2010/main" spid="_x0000_s10098"/>
            </a:ext>
            <a:ext uri="{FF2B5EF4-FFF2-40B4-BE49-F238E27FC236}">
              <a16:creationId xmlns:a16="http://schemas.microsoft.com/office/drawing/2014/main" id="{00000000-0008-0000-0200-00007227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0</xdr:colOff>
      <xdr:row>32</xdr:row>
      <xdr:rowOff>0</xdr:rowOff>
    </xdr:from>
    <xdr:to>
      <xdr:col>0</xdr:col>
      <xdr:colOff>1206500</xdr:colOff>
      <xdr:row>33</xdr:row>
      <xdr:rowOff>0</xdr:rowOff>
    </xdr:to>
    <xdr:pic>
      <xdr:nvPicPr>
        <xdr:cNvPr id="2" name="Stationary">
          <a:extLst>
            <a:ext uri="{FF2B5EF4-FFF2-40B4-BE49-F238E27FC236}">
              <a16:creationId xmlns:a16="http://schemas.microsoft.com/office/drawing/2014/main" id="{00000000-0008-0000-02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150100"/>
          <a:ext cx="12065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33</xdr:row>
      <xdr:rowOff>12700</xdr:rowOff>
    </xdr:from>
    <xdr:to>
      <xdr:col>1</xdr:col>
      <xdr:colOff>12700</xdr:colOff>
      <xdr:row>34</xdr:row>
      <xdr:rowOff>12700</xdr:rowOff>
    </xdr:to>
    <xdr:pic>
      <xdr:nvPicPr>
        <xdr:cNvPr id="3" name="Mobile">
          <a:extLst>
            <a:ext uri="{FF2B5EF4-FFF2-40B4-BE49-F238E27FC236}">
              <a16:creationId xmlns:a16="http://schemas.microsoft.com/office/drawing/2014/main" id="{00000000-0008-0000-02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4295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34</xdr:row>
      <xdr:rowOff>12700</xdr:rowOff>
    </xdr:from>
    <xdr:to>
      <xdr:col>1</xdr:col>
      <xdr:colOff>12700</xdr:colOff>
      <xdr:row>35</xdr:row>
      <xdr:rowOff>12700</xdr:rowOff>
    </xdr:to>
    <xdr:pic>
      <xdr:nvPicPr>
        <xdr:cNvPr id="4" name="Refrigeration">
          <a:extLst>
            <a:ext uri="{FF2B5EF4-FFF2-40B4-BE49-F238E27FC236}">
              <a16:creationId xmlns:a16="http://schemas.microsoft.com/office/drawing/2014/main" id="{00000000-0008-0000-02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6962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35</xdr:row>
      <xdr:rowOff>12700</xdr:rowOff>
    </xdr:from>
    <xdr:to>
      <xdr:col>1</xdr:col>
      <xdr:colOff>12700</xdr:colOff>
      <xdr:row>36</xdr:row>
      <xdr:rowOff>12700</xdr:rowOff>
    </xdr:to>
    <xdr:pic>
      <xdr:nvPicPr>
        <xdr:cNvPr id="5" name="FireSuppression">
          <a:extLst>
            <a:ext uri="{FF2B5EF4-FFF2-40B4-BE49-F238E27FC236}">
              <a16:creationId xmlns:a16="http://schemas.microsoft.com/office/drawing/2014/main" id="{00000000-0008-0000-02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79629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39</xdr:row>
      <xdr:rowOff>0</xdr:rowOff>
    </xdr:from>
    <xdr:to>
      <xdr:col>1</xdr:col>
      <xdr:colOff>12700</xdr:colOff>
      <xdr:row>39</xdr:row>
      <xdr:rowOff>254000</xdr:rowOff>
    </xdr:to>
    <xdr:pic>
      <xdr:nvPicPr>
        <xdr:cNvPr id="6" name="CommandButton4">
          <a:extLst>
            <a:ext uri="{FF2B5EF4-FFF2-40B4-BE49-F238E27FC236}">
              <a16:creationId xmlns:a16="http://schemas.microsoft.com/office/drawing/2014/main" id="{00000000-0008-0000-0200-000006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8839200"/>
          <a:ext cx="13208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39</xdr:row>
      <xdr:rowOff>254000</xdr:rowOff>
    </xdr:from>
    <xdr:to>
      <xdr:col>1</xdr:col>
      <xdr:colOff>12700</xdr:colOff>
      <xdr:row>40</xdr:row>
      <xdr:rowOff>254000</xdr:rowOff>
    </xdr:to>
    <xdr:pic>
      <xdr:nvPicPr>
        <xdr:cNvPr id="7" name="CommandButton6">
          <a:extLst>
            <a:ext uri="{FF2B5EF4-FFF2-40B4-BE49-F238E27FC236}">
              <a16:creationId xmlns:a16="http://schemas.microsoft.com/office/drawing/2014/main" id="{00000000-0008-0000-0200-000007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90932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57</xdr:row>
      <xdr:rowOff>0</xdr:rowOff>
    </xdr:from>
    <xdr:to>
      <xdr:col>1</xdr:col>
      <xdr:colOff>12700</xdr:colOff>
      <xdr:row>58</xdr:row>
      <xdr:rowOff>0</xdr:rowOff>
    </xdr:to>
    <xdr:pic>
      <xdr:nvPicPr>
        <xdr:cNvPr id="8" name="BizTravel">
          <a:extLst>
            <a:ext uri="{FF2B5EF4-FFF2-40B4-BE49-F238E27FC236}">
              <a16:creationId xmlns:a16="http://schemas.microsoft.com/office/drawing/2014/main" id="{00000000-0008-0000-0200-000008000000}"/>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26238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51</xdr:row>
      <xdr:rowOff>0</xdr:rowOff>
    </xdr:from>
    <xdr:to>
      <xdr:col>1</xdr:col>
      <xdr:colOff>12700</xdr:colOff>
      <xdr:row>52</xdr:row>
      <xdr:rowOff>0</xdr:rowOff>
    </xdr:to>
    <xdr:pic>
      <xdr:nvPicPr>
        <xdr:cNvPr id="9" name="CommandButton10">
          <a:extLst>
            <a:ext uri="{FF2B5EF4-FFF2-40B4-BE49-F238E27FC236}">
              <a16:creationId xmlns:a16="http://schemas.microsoft.com/office/drawing/2014/main" id="{00000000-0008-0000-0200-000009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4173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51</xdr:row>
      <xdr:rowOff>12700</xdr:rowOff>
    </xdr:from>
    <xdr:to>
      <xdr:col>1</xdr:col>
      <xdr:colOff>12700</xdr:colOff>
      <xdr:row>52</xdr:row>
      <xdr:rowOff>12700</xdr:rowOff>
    </xdr:to>
    <xdr:pic>
      <xdr:nvPicPr>
        <xdr:cNvPr id="10" name="Offsets">
          <a:extLst>
            <a:ext uri="{FF2B5EF4-FFF2-40B4-BE49-F238E27FC236}">
              <a16:creationId xmlns:a16="http://schemas.microsoft.com/office/drawing/2014/main" id="{00000000-0008-0000-0200-00000A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4300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0</xdr:col>
      <xdr:colOff>711200</xdr:colOff>
      <xdr:row>0</xdr:row>
      <xdr:rowOff>139700</xdr:rowOff>
    </xdr:from>
    <xdr:to>
      <xdr:col>1</xdr:col>
      <xdr:colOff>482600</xdr:colOff>
      <xdr:row>1</xdr:row>
      <xdr:rowOff>139700</xdr:rowOff>
    </xdr:to>
    <xdr:pic>
      <xdr:nvPicPr>
        <xdr:cNvPr id="11" name="CommandButton12">
          <a:extLst>
            <a:ext uri="{FF2B5EF4-FFF2-40B4-BE49-F238E27FC236}">
              <a16:creationId xmlns:a16="http://schemas.microsoft.com/office/drawing/2014/main" id="{00000000-0008-0000-0200-00000B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11200" y="139700"/>
          <a:ext cx="1079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36</xdr:row>
      <xdr:rowOff>12700</xdr:rowOff>
    </xdr:from>
    <xdr:to>
      <xdr:col>1</xdr:col>
      <xdr:colOff>12700</xdr:colOff>
      <xdr:row>37</xdr:row>
      <xdr:rowOff>12700</xdr:rowOff>
    </xdr:to>
    <xdr:pic>
      <xdr:nvPicPr>
        <xdr:cNvPr id="12" name="PurchasedGases">
          <a:extLst>
            <a:ext uri="{FF2B5EF4-FFF2-40B4-BE49-F238E27FC236}">
              <a16:creationId xmlns:a16="http://schemas.microsoft.com/office/drawing/2014/main" id="{00000000-0008-0000-0200-00000C000000}"/>
            </a:ext>
          </a:extLst>
        </xdr:cNvPr>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2296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43</xdr:row>
      <xdr:rowOff>0</xdr:rowOff>
    </xdr:from>
    <xdr:to>
      <xdr:col>1</xdr:col>
      <xdr:colOff>12700</xdr:colOff>
      <xdr:row>43</xdr:row>
      <xdr:rowOff>254000</xdr:rowOff>
    </xdr:to>
    <xdr:pic>
      <xdr:nvPicPr>
        <xdr:cNvPr id="13" name="Electricity">
          <a:extLst>
            <a:ext uri="{FF2B5EF4-FFF2-40B4-BE49-F238E27FC236}">
              <a16:creationId xmlns:a16="http://schemas.microsoft.com/office/drawing/2014/main" id="{00000000-0008-0000-0200-00000D000000}"/>
            </a:ext>
          </a:extLst>
        </xdr:cNvPr>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9728200"/>
          <a:ext cx="13208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43</xdr:row>
      <xdr:rowOff>254000</xdr:rowOff>
    </xdr:from>
    <xdr:to>
      <xdr:col>1</xdr:col>
      <xdr:colOff>12700</xdr:colOff>
      <xdr:row>44</xdr:row>
      <xdr:rowOff>254000</xdr:rowOff>
    </xdr:to>
    <xdr:pic>
      <xdr:nvPicPr>
        <xdr:cNvPr id="14" name="Steam">
          <a:extLst>
            <a:ext uri="{FF2B5EF4-FFF2-40B4-BE49-F238E27FC236}">
              <a16:creationId xmlns:a16="http://schemas.microsoft.com/office/drawing/2014/main" id="{00000000-0008-0000-0200-00000E000000}"/>
            </a:ext>
          </a:extLst>
        </xdr:cNvPr>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99822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58</xdr:row>
      <xdr:rowOff>12700</xdr:rowOff>
    </xdr:from>
    <xdr:to>
      <xdr:col>1</xdr:col>
      <xdr:colOff>12700</xdr:colOff>
      <xdr:row>59</xdr:row>
      <xdr:rowOff>12700</xdr:rowOff>
    </xdr:to>
    <xdr:pic>
      <xdr:nvPicPr>
        <xdr:cNvPr id="15" name="Commuting">
          <a:extLst>
            <a:ext uri="{FF2B5EF4-FFF2-40B4-BE49-F238E27FC236}">
              <a16:creationId xmlns:a16="http://schemas.microsoft.com/office/drawing/2014/main" id="{00000000-0008-0000-0200-00000F000000}"/>
            </a:ext>
          </a:extLst>
        </xdr:cNvPr>
        <xdr:cNvPicPr preferRelativeResize="0">
          <a:picLocks noChangeArrowheads="1" noChangeShapeType="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29032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59</xdr:row>
      <xdr:rowOff>25400</xdr:rowOff>
    </xdr:from>
    <xdr:to>
      <xdr:col>1</xdr:col>
      <xdr:colOff>12700</xdr:colOff>
      <xdr:row>60</xdr:row>
      <xdr:rowOff>25400</xdr:rowOff>
    </xdr:to>
    <xdr:pic>
      <xdr:nvPicPr>
        <xdr:cNvPr id="16" name="ProdTransport">
          <a:extLst>
            <a:ext uri="{FF2B5EF4-FFF2-40B4-BE49-F238E27FC236}">
              <a16:creationId xmlns:a16="http://schemas.microsoft.com/office/drawing/2014/main" id="{00000000-0008-0000-0200-000010000000}"/>
            </a:ext>
          </a:extLst>
        </xdr:cNvPr>
        <xdr:cNvPicPr preferRelativeResize="0">
          <a:picLocks noChangeArrowheads="1" noChangeShapeType="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31826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63</xdr:row>
      <xdr:rowOff>12700</xdr:rowOff>
    </xdr:from>
    <xdr:to>
      <xdr:col>1</xdr:col>
      <xdr:colOff>12700</xdr:colOff>
      <xdr:row>64</xdr:row>
      <xdr:rowOff>12700</xdr:rowOff>
    </xdr:to>
    <xdr:pic>
      <xdr:nvPicPr>
        <xdr:cNvPr id="17" name="CommandButton1">
          <a:extLst>
            <a:ext uri="{FF2B5EF4-FFF2-40B4-BE49-F238E27FC236}">
              <a16:creationId xmlns:a16="http://schemas.microsoft.com/office/drawing/2014/main" id="{00000000-0008-0000-0200-000011000000}"/>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40589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0</xdr:colOff>
      <xdr:row>64</xdr:row>
      <xdr:rowOff>0</xdr:rowOff>
    </xdr:from>
    <xdr:to>
      <xdr:col>1</xdr:col>
      <xdr:colOff>12700</xdr:colOff>
      <xdr:row>65</xdr:row>
      <xdr:rowOff>0</xdr:rowOff>
    </xdr:to>
    <xdr:pic>
      <xdr:nvPicPr>
        <xdr:cNvPr id="18" name="CommandButton2">
          <a:extLst>
            <a:ext uri="{FF2B5EF4-FFF2-40B4-BE49-F238E27FC236}">
              <a16:creationId xmlns:a16="http://schemas.microsoft.com/office/drawing/2014/main" id="{00000000-0008-0000-0200-000012000000}"/>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43129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12700</xdr:colOff>
      <xdr:row>60</xdr:row>
      <xdr:rowOff>25400</xdr:rowOff>
    </xdr:from>
    <xdr:to>
      <xdr:col>1</xdr:col>
      <xdr:colOff>25400</xdr:colOff>
      <xdr:row>61</xdr:row>
      <xdr:rowOff>25400</xdr:rowOff>
    </xdr:to>
    <xdr:pic>
      <xdr:nvPicPr>
        <xdr:cNvPr id="19" name="CommandButton3">
          <a:extLst>
            <a:ext uri="{FF2B5EF4-FFF2-40B4-BE49-F238E27FC236}">
              <a16:creationId xmlns:a16="http://schemas.microsoft.com/office/drawing/2014/main" id="{00000000-0008-0000-0200-000013000000}"/>
            </a:ext>
          </a:extLst>
        </xdr:cNvPr>
        <xdr:cNvPicPr preferRelativeResize="0">
          <a:picLocks noChangeArrowheads="1" noChangeShapeType="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700" y="13449300"/>
          <a:ext cx="1320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43009" name="CommandButton1" hidden="1">
          <a:extLst>
            <a:ext uri="{63B3BB69-23CF-44E3-9099-C40C66FF867C}">
              <a14:compatExt xmlns:a14="http://schemas.microsoft.com/office/drawing/2010/main" spid="_x0000_s43009"/>
            </a:ext>
            <a:ext uri="{FF2B5EF4-FFF2-40B4-BE49-F238E27FC236}">
              <a16:creationId xmlns:a16="http://schemas.microsoft.com/office/drawing/2014/main" id="{00000000-0008-0000-1E00-000001A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43010" name="CommandButton2" hidden="1">
          <a:extLst>
            <a:ext uri="{63B3BB69-23CF-44E3-9099-C40C66FF867C}">
              <a14:compatExt xmlns:a14="http://schemas.microsoft.com/office/drawing/2010/main" spid="_x0000_s43010"/>
            </a:ext>
            <a:ext uri="{FF2B5EF4-FFF2-40B4-BE49-F238E27FC236}">
              <a16:creationId xmlns:a16="http://schemas.microsoft.com/office/drawing/2014/main" id="{00000000-0008-0000-1E00-000002A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219075</xdr:colOff>
      <xdr:row>0</xdr:row>
      <xdr:rowOff>76200</xdr:rowOff>
    </xdr:from>
    <xdr:to>
      <xdr:col>4</xdr:col>
      <xdr:colOff>990600</xdr:colOff>
      <xdr:row>1</xdr:row>
      <xdr:rowOff>238125</xdr:rowOff>
    </xdr:to>
    <xdr:pic>
      <xdr:nvPicPr>
        <xdr:cNvPr id="43708" name="Picture 4">
          <a:extLst>
            <a:ext uri="{FF2B5EF4-FFF2-40B4-BE49-F238E27FC236}">
              <a16:creationId xmlns:a16="http://schemas.microsoft.com/office/drawing/2014/main" id="{00000000-0008-0000-1E00-0000BCA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762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E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E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77825" name="CommandButton1" hidden="1">
          <a:extLst>
            <a:ext uri="{63B3BB69-23CF-44E3-9099-C40C66FF867C}">
              <a14:compatExt xmlns:a14="http://schemas.microsoft.com/office/drawing/2010/main" spid="_x0000_s77825"/>
            </a:ext>
            <a:ext uri="{FF2B5EF4-FFF2-40B4-BE49-F238E27FC236}">
              <a16:creationId xmlns:a16="http://schemas.microsoft.com/office/drawing/2014/main" id="{00000000-0008-0000-1F00-00000130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77826" name="CommandButton2" hidden="1">
          <a:extLst>
            <a:ext uri="{63B3BB69-23CF-44E3-9099-C40C66FF867C}">
              <a14:compatExt xmlns:a14="http://schemas.microsoft.com/office/drawing/2010/main" spid="_x0000_s77826"/>
            </a:ext>
            <a:ext uri="{FF2B5EF4-FFF2-40B4-BE49-F238E27FC236}">
              <a16:creationId xmlns:a16="http://schemas.microsoft.com/office/drawing/2014/main" id="{00000000-0008-0000-1F00-00000230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219075</xdr:colOff>
      <xdr:row>0</xdr:row>
      <xdr:rowOff>76200</xdr:rowOff>
    </xdr:from>
    <xdr:to>
      <xdr:col>4</xdr:col>
      <xdr:colOff>990600</xdr:colOff>
      <xdr:row>1</xdr:row>
      <xdr:rowOff>238125</xdr:rowOff>
    </xdr:to>
    <xdr:pic>
      <xdr:nvPicPr>
        <xdr:cNvPr id="4" name="Picture 4">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60975" y="76200"/>
          <a:ext cx="1870075" cy="47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635000</xdr:colOff>
      <xdr:row>0</xdr:row>
      <xdr:rowOff>139700</xdr:rowOff>
    </xdr:from>
    <xdr:to>
      <xdr:col>3</xdr:col>
      <xdr:colOff>12700</xdr:colOff>
      <xdr:row>1</xdr:row>
      <xdr:rowOff>139700</xdr:rowOff>
    </xdr:to>
    <xdr:sp macro="" textlink="">
      <xdr:nvSpPr>
        <xdr:cNvPr id="77827" name="CommandButton3" hidden="1">
          <a:extLst>
            <a:ext uri="{63B3BB69-23CF-44E3-9099-C40C66FF867C}">
              <a14:compatExt xmlns:a14="http://schemas.microsoft.com/office/drawing/2010/main" spid="_x0000_s77827"/>
            </a:ext>
            <a:ext uri="{FF2B5EF4-FFF2-40B4-BE49-F238E27FC236}">
              <a16:creationId xmlns:a16="http://schemas.microsoft.com/office/drawing/2014/main" id="{00000000-0008-0000-1F00-00000330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1F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1F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2</xdr:col>
      <xdr:colOff>635000</xdr:colOff>
      <xdr:row>0</xdr:row>
      <xdr:rowOff>139700</xdr:rowOff>
    </xdr:from>
    <xdr:to>
      <xdr:col>3</xdr:col>
      <xdr:colOff>12700</xdr:colOff>
      <xdr:row>1</xdr:row>
      <xdr:rowOff>139700</xdr:rowOff>
    </xdr:to>
    <xdr:pic>
      <xdr:nvPicPr>
        <xdr:cNvPr id="5" name="CommandButton3">
          <a:extLst>
            <a:ext uri="{FF2B5EF4-FFF2-40B4-BE49-F238E27FC236}">
              <a16:creationId xmlns:a16="http://schemas.microsoft.com/office/drawing/2014/main" id="{00000000-0008-0000-1F00-000005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2400" y="139700"/>
          <a:ext cx="15748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31745" name="CommandButton1" hidden="1">
          <a:extLst>
            <a:ext uri="{63B3BB69-23CF-44E3-9099-C40C66FF867C}">
              <a14:compatExt xmlns:a14="http://schemas.microsoft.com/office/drawing/2010/main" spid="_x0000_s31745"/>
            </a:ext>
            <a:ext uri="{FF2B5EF4-FFF2-40B4-BE49-F238E27FC236}">
              <a16:creationId xmlns:a16="http://schemas.microsoft.com/office/drawing/2014/main" id="{00000000-0008-0000-2000-0000017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31746" name="CommandButton2" hidden="1">
          <a:extLst>
            <a:ext uri="{63B3BB69-23CF-44E3-9099-C40C66FF867C}">
              <a14:compatExt xmlns:a14="http://schemas.microsoft.com/office/drawing/2010/main" spid="_x0000_s31746"/>
            </a:ext>
            <a:ext uri="{FF2B5EF4-FFF2-40B4-BE49-F238E27FC236}">
              <a16:creationId xmlns:a16="http://schemas.microsoft.com/office/drawing/2014/main" id="{00000000-0008-0000-2000-0000027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266700</xdr:colOff>
      <xdr:row>0</xdr:row>
      <xdr:rowOff>114300</xdr:rowOff>
    </xdr:from>
    <xdr:to>
      <xdr:col>4</xdr:col>
      <xdr:colOff>1038225</xdr:colOff>
      <xdr:row>1</xdr:row>
      <xdr:rowOff>276225</xdr:rowOff>
    </xdr:to>
    <xdr:pic>
      <xdr:nvPicPr>
        <xdr:cNvPr id="32445" name="Picture 4">
          <a:extLst>
            <a:ext uri="{FF2B5EF4-FFF2-40B4-BE49-F238E27FC236}">
              <a16:creationId xmlns:a16="http://schemas.microsoft.com/office/drawing/2014/main" id="{00000000-0008-0000-2000-0000BD7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76825" y="114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20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20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63500</xdr:colOff>
      <xdr:row>0</xdr:row>
      <xdr:rowOff>139700</xdr:rowOff>
    </xdr:from>
    <xdr:to>
      <xdr:col>1</xdr:col>
      <xdr:colOff>977900</xdr:colOff>
      <xdr:row>1</xdr:row>
      <xdr:rowOff>139700</xdr:rowOff>
    </xdr:to>
    <xdr:sp macro="" textlink="">
      <xdr:nvSpPr>
        <xdr:cNvPr id="11355" name="CommandButton1" hidden="1">
          <a:extLst>
            <a:ext uri="{63B3BB69-23CF-44E3-9099-C40C66FF867C}">
              <a14:compatExt xmlns:a14="http://schemas.microsoft.com/office/drawing/2010/main" spid="_x0000_s11355"/>
            </a:ext>
            <a:ext uri="{FF2B5EF4-FFF2-40B4-BE49-F238E27FC236}">
              <a16:creationId xmlns:a16="http://schemas.microsoft.com/office/drawing/2014/main" id="{00000000-0008-0000-0300-00005B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1181100</xdr:colOff>
      <xdr:row>0</xdr:row>
      <xdr:rowOff>139700</xdr:rowOff>
    </xdr:from>
    <xdr:to>
      <xdr:col>2</xdr:col>
      <xdr:colOff>228600</xdr:colOff>
      <xdr:row>1</xdr:row>
      <xdr:rowOff>139700</xdr:rowOff>
    </xdr:to>
    <xdr:sp macro="" textlink="">
      <xdr:nvSpPr>
        <xdr:cNvPr id="11356" name="CommandButton2" hidden="1">
          <a:extLst>
            <a:ext uri="{63B3BB69-23CF-44E3-9099-C40C66FF867C}">
              <a14:compatExt xmlns:a14="http://schemas.microsoft.com/office/drawing/2010/main" spid="_x0000_s11356"/>
            </a:ext>
            <a:ext uri="{FF2B5EF4-FFF2-40B4-BE49-F238E27FC236}">
              <a16:creationId xmlns:a16="http://schemas.microsoft.com/office/drawing/2014/main" id="{00000000-0008-0000-0300-00005C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1206500</xdr:colOff>
      <xdr:row>0</xdr:row>
      <xdr:rowOff>139700</xdr:rowOff>
    </xdr:from>
    <xdr:to>
      <xdr:col>4</xdr:col>
      <xdr:colOff>520700</xdr:colOff>
      <xdr:row>1</xdr:row>
      <xdr:rowOff>139700</xdr:rowOff>
    </xdr:to>
    <xdr:sp macro="" textlink="">
      <xdr:nvSpPr>
        <xdr:cNvPr id="11458" name="CommandButton3" hidden="1">
          <a:extLst>
            <a:ext uri="{63B3BB69-23CF-44E3-9099-C40C66FF867C}">
              <a14:compatExt xmlns:a14="http://schemas.microsoft.com/office/drawing/2010/main" spid="_x0000_s11458"/>
            </a:ext>
            <a:ext uri="{FF2B5EF4-FFF2-40B4-BE49-F238E27FC236}">
              <a16:creationId xmlns:a16="http://schemas.microsoft.com/office/drawing/2014/main" id="{00000000-0008-0000-0300-0000C2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673100</xdr:colOff>
      <xdr:row>0</xdr:row>
      <xdr:rowOff>139700</xdr:rowOff>
    </xdr:from>
    <xdr:to>
      <xdr:col>3</xdr:col>
      <xdr:colOff>698500</xdr:colOff>
      <xdr:row>1</xdr:row>
      <xdr:rowOff>139700</xdr:rowOff>
    </xdr:to>
    <xdr:sp macro="" textlink="">
      <xdr:nvSpPr>
        <xdr:cNvPr id="11477" name="CommandButton4" hidden="1">
          <a:extLst>
            <a:ext uri="{63B3BB69-23CF-44E3-9099-C40C66FF867C}">
              <a14:compatExt xmlns:a14="http://schemas.microsoft.com/office/drawing/2010/main" spid="_x0000_s11477"/>
            </a:ext>
            <a:ext uri="{FF2B5EF4-FFF2-40B4-BE49-F238E27FC236}">
              <a16:creationId xmlns:a16="http://schemas.microsoft.com/office/drawing/2014/main" id="{00000000-0008-0000-0300-0000D5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1085850</xdr:colOff>
      <xdr:row>1</xdr:row>
      <xdr:rowOff>161925</xdr:rowOff>
    </xdr:from>
    <xdr:to>
      <xdr:col>5</xdr:col>
      <xdr:colOff>190501</xdr:colOff>
      <xdr:row>3</xdr:row>
      <xdr:rowOff>133350</xdr:rowOff>
    </xdr:to>
    <xdr:pic>
      <xdr:nvPicPr>
        <xdr:cNvPr id="58389" name="Picture 6">
          <a:extLst>
            <a:ext uri="{FF2B5EF4-FFF2-40B4-BE49-F238E27FC236}">
              <a16:creationId xmlns:a16="http://schemas.microsoft.com/office/drawing/2014/main" id="{00000000-0008-0000-0300-000015E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29225"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63500</xdr:colOff>
      <xdr:row>0</xdr:row>
      <xdr:rowOff>139700</xdr:rowOff>
    </xdr:from>
    <xdr:to>
      <xdr:col>1</xdr:col>
      <xdr:colOff>977900</xdr:colOff>
      <xdr:row>1</xdr:row>
      <xdr:rowOff>139700</xdr:rowOff>
    </xdr:to>
    <xdr:pic>
      <xdr:nvPicPr>
        <xdr:cNvPr id="2" name="CommandButton1">
          <a:extLst>
            <a:ext uri="{FF2B5EF4-FFF2-40B4-BE49-F238E27FC236}">
              <a16:creationId xmlns:a16="http://schemas.microsoft.com/office/drawing/2014/main" id="{00000000-0008-0000-03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1</xdr:col>
      <xdr:colOff>1181100</xdr:colOff>
      <xdr:row>0</xdr:row>
      <xdr:rowOff>139700</xdr:rowOff>
    </xdr:from>
    <xdr:to>
      <xdr:col>2</xdr:col>
      <xdr:colOff>228600</xdr:colOff>
      <xdr:row>1</xdr:row>
      <xdr:rowOff>139700</xdr:rowOff>
    </xdr:to>
    <xdr:pic>
      <xdr:nvPicPr>
        <xdr:cNvPr id="3" name="CommandButton2">
          <a:extLst>
            <a:ext uri="{FF2B5EF4-FFF2-40B4-BE49-F238E27FC236}">
              <a16:creationId xmlns:a16="http://schemas.microsoft.com/office/drawing/2014/main" id="{00000000-0008-0000-03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0400" y="139700"/>
          <a:ext cx="15748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1206500</xdr:colOff>
      <xdr:row>0</xdr:row>
      <xdr:rowOff>139700</xdr:rowOff>
    </xdr:from>
    <xdr:to>
      <xdr:col>4</xdr:col>
      <xdr:colOff>520700</xdr:colOff>
      <xdr:row>1</xdr:row>
      <xdr:rowOff>139700</xdr:rowOff>
    </xdr:to>
    <xdr:pic>
      <xdr:nvPicPr>
        <xdr:cNvPr id="4" name="CommandButton3">
          <a:extLst>
            <a:ext uri="{FF2B5EF4-FFF2-40B4-BE49-F238E27FC236}">
              <a16:creationId xmlns:a16="http://schemas.microsoft.com/office/drawing/2014/main" id="{00000000-0008-0000-03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8200" y="139700"/>
          <a:ext cx="1219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673100</xdr:colOff>
      <xdr:row>0</xdr:row>
      <xdr:rowOff>139700</xdr:rowOff>
    </xdr:from>
    <xdr:to>
      <xdr:col>3</xdr:col>
      <xdr:colOff>698500</xdr:colOff>
      <xdr:row>1</xdr:row>
      <xdr:rowOff>139700</xdr:rowOff>
    </xdr:to>
    <xdr:pic>
      <xdr:nvPicPr>
        <xdr:cNvPr id="5" name="CommandButton4">
          <a:extLst>
            <a:ext uri="{FF2B5EF4-FFF2-40B4-BE49-F238E27FC236}">
              <a16:creationId xmlns:a16="http://schemas.microsoft.com/office/drawing/2014/main" id="{00000000-0008-0000-03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49700" y="139700"/>
          <a:ext cx="14605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749300</xdr:colOff>
      <xdr:row>0</xdr:row>
      <xdr:rowOff>139700</xdr:rowOff>
    </xdr:from>
    <xdr:to>
      <xdr:col>0</xdr:col>
      <xdr:colOff>1663700</xdr:colOff>
      <xdr:row>1</xdr:row>
      <xdr:rowOff>139700</xdr:rowOff>
    </xdr:to>
    <xdr:sp macro="" textlink="">
      <xdr:nvSpPr>
        <xdr:cNvPr id="13412" name="CommandButton1" hidden="1">
          <a:extLst>
            <a:ext uri="{63B3BB69-23CF-44E3-9099-C40C66FF867C}">
              <a14:compatExt xmlns:a14="http://schemas.microsoft.com/office/drawing/2010/main" spid="_x0000_s13412"/>
            </a:ext>
            <a:ext uri="{FF2B5EF4-FFF2-40B4-BE49-F238E27FC236}">
              <a16:creationId xmlns:a16="http://schemas.microsoft.com/office/drawing/2014/main" id="{00000000-0008-0000-0400-000064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0</xdr:col>
      <xdr:colOff>1854200</xdr:colOff>
      <xdr:row>0</xdr:row>
      <xdr:rowOff>139700</xdr:rowOff>
    </xdr:from>
    <xdr:to>
      <xdr:col>1</xdr:col>
      <xdr:colOff>1206500</xdr:colOff>
      <xdr:row>1</xdr:row>
      <xdr:rowOff>139700</xdr:rowOff>
    </xdr:to>
    <xdr:sp macro="" textlink="">
      <xdr:nvSpPr>
        <xdr:cNvPr id="13413" name="CommandButton2" hidden="1">
          <a:extLst>
            <a:ext uri="{63B3BB69-23CF-44E3-9099-C40C66FF867C}">
              <a14:compatExt xmlns:a14="http://schemas.microsoft.com/office/drawing/2010/main" spid="_x0000_s13413"/>
            </a:ext>
            <a:ext uri="{FF2B5EF4-FFF2-40B4-BE49-F238E27FC236}">
              <a16:creationId xmlns:a16="http://schemas.microsoft.com/office/drawing/2014/main" id="{00000000-0008-0000-0400-000065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139700</xdr:colOff>
      <xdr:row>0</xdr:row>
      <xdr:rowOff>139700</xdr:rowOff>
    </xdr:from>
    <xdr:to>
      <xdr:col>5</xdr:col>
      <xdr:colOff>292100</xdr:colOff>
      <xdr:row>1</xdr:row>
      <xdr:rowOff>139700</xdr:rowOff>
    </xdr:to>
    <xdr:sp macro="" textlink="">
      <xdr:nvSpPr>
        <xdr:cNvPr id="13523" name="CommandButton3" hidden="1">
          <a:extLst>
            <a:ext uri="{63B3BB69-23CF-44E3-9099-C40C66FF867C}">
              <a14:compatExt xmlns:a14="http://schemas.microsoft.com/office/drawing/2010/main" spid="_x0000_s13523"/>
            </a:ext>
            <a:ext uri="{FF2B5EF4-FFF2-40B4-BE49-F238E27FC236}">
              <a16:creationId xmlns:a16="http://schemas.microsoft.com/office/drawing/2014/main" id="{00000000-0008-0000-0400-0000D33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114300</xdr:colOff>
      <xdr:row>1</xdr:row>
      <xdr:rowOff>171450</xdr:rowOff>
    </xdr:from>
    <xdr:to>
      <xdr:col>5</xdr:col>
      <xdr:colOff>1191078</xdr:colOff>
      <xdr:row>3</xdr:row>
      <xdr:rowOff>139700</xdr:rowOff>
    </xdr:to>
    <xdr:pic>
      <xdr:nvPicPr>
        <xdr:cNvPr id="56367" name="Picture 11">
          <a:extLst>
            <a:ext uri="{FF2B5EF4-FFF2-40B4-BE49-F238E27FC236}">
              <a16:creationId xmlns:a16="http://schemas.microsoft.com/office/drawing/2014/main" id="{00000000-0008-0000-0400-00002FD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181600" y="48577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749300</xdr:colOff>
      <xdr:row>0</xdr:row>
      <xdr:rowOff>139700</xdr:rowOff>
    </xdr:from>
    <xdr:to>
      <xdr:col>0</xdr:col>
      <xdr:colOff>1663700</xdr:colOff>
      <xdr:row>1</xdr:row>
      <xdr:rowOff>139700</xdr:rowOff>
    </xdr:to>
    <xdr:pic>
      <xdr:nvPicPr>
        <xdr:cNvPr id="2" name="CommandButton1">
          <a:extLst>
            <a:ext uri="{FF2B5EF4-FFF2-40B4-BE49-F238E27FC236}">
              <a16:creationId xmlns:a16="http://schemas.microsoft.com/office/drawing/2014/main" id="{00000000-0008-0000-04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3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0</xdr:col>
      <xdr:colOff>1854200</xdr:colOff>
      <xdr:row>0</xdr:row>
      <xdr:rowOff>139700</xdr:rowOff>
    </xdr:from>
    <xdr:to>
      <xdr:col>1</xdr:col>
      <xdr:colOff>1206500</xdr:colOff>
      <xdr:row>1</xdr:row>
      <xdr:rowOff>139700</xdr:rowOff>
    </xdr:to>
    <xdr:pic>
      <xdr:nvPicPr>
        <xdr:cNvPr id="3" name="CommandButton2">
          <a:extLst>
            <a:ext uri="{FF2B5EF4-FFF2-40B4-BE49-F238E27FC236}">
              <a16:creationId xmlns:a16="http://schemas.microsoft.com/office/drawing/2014/main" id="{00000000-0008-0000-04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54200" y="139700"/>
          <a:ext cx="15748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139700</xdr:colOff>
      <xdr:row>0</xdr:row>
      <xdr:rowOff>139700</xdr:rowOff>
    </xdr:from>
    <xdr:to>
      <xdr:col>5</xdr:col>
      <xdr:colOff>292100</xdr:colOff>
      <xdr:row>1</xdr:row>
      <xdr:rowOff>139700</xdr:rowOff>
    </xdr:to>
    <xdr:pic>
      <xdr:nvPicPr>
        <xdr:cNvPr id="4" name="CommandButton3">
          <a:extLst>
            <a:ext uri="{FF2B5EF4-FFF2-40B4-BE49-F238E27FC236}">
              <a16:creationId xmlns:a16="http://schemas.microsoft.com/office/drawing/2014/main" id="{00000000-0008-0000-04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97900" y="139700"/>
          <a:ext cx="10541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139700</xdr:rowOff>
    </xdr:from>
    <xdr:to>
      <xdr:col>1</xdr:col>
      <xdr:colOff>914400</xdr:colOff>
      <xdr:row>1</xdr:row>
      <xdr:rowOff>139700</xdr:rowOff>
    </xdr:to>
    <xdr:sp macro="" textlink="">
      <xdr:nvSpPr>
        <xdr:cNvPr id="14415" name="CommandButton1" hidden="1">
          <a:extLst>
            <a:ext uri="{63B3BB69-23CF-44E3-9099-C40C66FF867C}">
              <a14:compatExt xmlns:a14="http://schemas.microsoft.com/office/drawing/2010/main"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1117600</xdr:colOff>
      <xdr:row>0</xdr:row>
      <xdr:rowOff>139700</xdr:rowOff>
    </xdr:from>
    <xdr:to>
      <xdr:col>3</xdr:col>
      <xdr:colOff>25400</xdr:colOff>
      <xdr:row>1</xdr:row>
      <xdr:rowOff>139700</xdr:rowOff>
    </xdr:to>
    <xdr:sp macro="" textlink="">
      <xdr:nvSpPr>
        <xdr:cNvPr id="14416" name="CommandButton2" hidden="1">
          <a:extLst>
            <a:ext uri="{63B3BB69-23CF-44E3-9099-C40C66FF867C}">
              <a14:compatExt xmlns:a14="http://schemas.microsoft.com/office/drawing/2010/main"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177800</xdr:colOff>
      <xdr:row>0</xdr:row>
      <xdr:rowOff>139700</xdr:rowOff>
    </xdr:from>
    <xdr:to>
      <xdr:col>6</xdr:col>
      <xdr:colOff>63500</xdr:colOff>
      <xdr:row>1</xdr:row>
      <xdr:rowOff>139700</xdr:rowOff>
    </xdr:to>
    <xdr:sp macro="" textlink="">
      <xdr:nvSpPr>
        <xdr:cNvPr id="14518" name="CommandButton3" hidden="1">
          <a:extLst>
            <a:ext uri="{63B3BB69-23CF-44E3-9099-C40C66FF867C}">
              <a14:compatExt xmlns:a14="http://schemas.microsoft.com/office/drawing/2010/main" spid="_x0000_s14518"/>
            </a:ext>
            <a:ext uri="{FF2B5EF4-FFF2-40B4-BE49-F238E27FC236}">
              <a16:creationId xmlns:a16="http://schemas.microsoft.com/office/drawing/2014/main" id="{00000000-0008-0000-0500-0000B63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95250</xdr:colOff>
      <xdr:row>1</xdr:row>
      <xdr:rowOff>190500</xdr:rowOff>
    </xdr:from>
    <xdr:to>
      <xdr:col>7</xdr:col>
      <xdr:colOff>152400</xdr:colOff>
      <xdr:row>4</xdr:row>
      <xdr:rowOff>0</xdr:rowOff>
    </xdr:to>
    <xdr:pic>
      <xdr:nvPicPr>
        <xdr:cNvPr id="59400" name="Picture 5">
          <a:extLst>
            <a:ext uri="{FF2B5EF4-FFF2-40B4-BE49-F238E27FC236}">
              <a16:creationId xmlns:a16="http://schemas.microsoft.com/office/drawing/2014/main" id="{00000000-0008-0000-0500-000008E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29225"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0</xdr:row>
      <xdr:rowOff>139700</xdr:rowOff>
    </xdr:from>
    <xdr:to>
      <xdr:col>1</xdr:col>
      <xdr:colOff>914400</xdr:colOff>
      <xdr:row>1</xdr:row>
      <xdr:rowOff>139700</xdr:rowOff>
    </xdr:to>
    <xdr:pic>
      <xdr:nvPicPr>
        <xdr:cNvPr id="2" name="CommandButton1">
          <a:extLst>
            <a:ext uri="{FF2B5EF4-FFF2-40B4-BE49-F238E27FC236}">
              <a16:creationId xmlns:a16="http://schemas.microsoft.com/office/drawing/2014/main" id="{00000000-0008-0000-05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1</xdr:col>
      <xdr:colOff>1117600</xdr:colOff>
      <xdr:row>0</xdr:row>
      <xdr:rowOff>139700</xdr:rowOff>
    </xdr:from>
    <xdr:to>
      <xdr:col>3</xdr:col>
      <xdr:colOff>25400</xdr:colOff>
      <xdr:row>1</xdr:row>
      <xdr:rowOff>139700</xdr:rowOff>
    </xdr:to>
    <xdr:pic>
      <xdr:nvPicPr>
        <xdr:cNvPr id="3" name="CommandButton2">
          <a:extLst>
            <a:ext uri="{FF2B5EF4-FFF2-40B4-BE49-F238E27FC236}">
              <a16:creationId xmlns:a16="http://schemas.microsoft.com/office/drawing/2014/main" id="{00000000-0008-0000-05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431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177800</xdr:colOff>
      <xdr:row>0</xdr:row>
      <xdr:rowOff>139700</xdr:rowOff>
    </xdr:from>
    <xdr:to>
      <xdr:col>6</xdr:col>
      <xdr:colOff>63500</xdr:colOff>
      <xdr:row>1</xdr:row>
      <xdr:rowOff>139700</xdr:rowOff>
    </xdr:to>
    <xdr:pic>
      <xdr:nvPicPr>
        <xdr:cNvPr id="4" name="CommandButton3">
          <a:extLst>
            <a:ext uri="{FF2B5EF4-FFF2-40B4-BE49-F238E27FC236}">
              <a16:creationId xmlns:a16="http://schemas.microsoft.com/office/drawing/2014/main" id="{00000000-0008-0000-05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7900" y="139700"/>
          <a:ext cx="1092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0</xdr:row>
      <xdr:rowOff>139700</xdr:rowOff>
    </xdr:from>
    <xdr:to>
      <xdr:col>1</xdr:col>
      <xdr:colOff>914400</xdr:colOff>
      <xdr:row>1</xdr:row>
      <xdr:rowOff>139700</xdr:rowOff>
    </xdr:to>
    <xdr:sp macro="" textlink="">
      <xdr:nvSpPr>
        <xdr:cNvPr id="15430" name="CommandButton1" hidden="1">
          <a:extLst>
            <a:ext uri="{63B3BB69-23CF-44E3-9099-C40C66FF867C}">
              <a14:compatExt xmlns:a14="http://schemas.microsoft.com/office/drawing/2010/main"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1117600</xdr:colOff>
      <xdr:row>0</xdr:row>
      <xdr:rowOff>139700</xdr:rowOff>
    </xdr:from>
    <xdr:to>
      <xdr:col>3</xdr:col>
      <xdr:colOff>228600</xdr:colOff>
      <xdr:row>1</xdr:row>
      <xdr:rowOff>139700</xdr:rowOff>
    </xdr:to>
    <xdr:sp macro="" textlink="">
      <xdr:nvSpPr>
        <xdr:cNvPr id="15431" name="CommandButton2" hidden="1">
          <a:extLst>
            <a:ext uri="{63B3BB69-23CF-44E3-9099-C40C66FF867C}">
              <a14:compatExt xmlns:a14="http://schemas.microsoft.com/office/drawing/2010/main"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317500</xdr:colOff>
      <xdr:row>0</xdr:row>
      <xdr:rowOff>139700</xdr:rowOff>
    </xdr:from>
    <xdr:to>
      <xdr:col>6</xdr:col>
      <xdr:colOff>254000</xdr:colOff>
      <xdr:row>1</xdr:row>
      <xdr:rowOff>139700</xdr:rowOff>
    </xdr:to>
    <xdr:sp macro="" textlink="">
      <xdr:nvSpPr>
        <xdr:cNvPr id="15531" name="CommandButton3" hidden="1">
          <a:extLst>
            <a:ext uri="{63B3BB69-23CF-44E3-9099-C40C66FF867C}">
              <a14:compatExt xmlns:a14="http://schemas.microsoft.com/office/drawing/2010/main" spid="_x0000_s15531"/>
            </a:ext>
            <a:ext uri="{FF2B5EF4-FFF2-40B4-BE49-F238E27FC236}">
              <a16:creationId xmlns:a16="http://schemas.microsoft.com/office/drawing/2014/main" id="{00000000-0008-0000-0600-0000AB3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228600</xdr:colOff>
      <xdr:row>1</xdr:row>
      <xdr:rowOff>161925</xdr:rowOff>
    </xdr:from>
    <xdr:to>
      <xdr:col>7</xdr:col>
      <xdr:colOff>247650</xdr:colOff>
      <xdr:row>3</xdr:row>
      <xdr:rowOff>101600</xdr:rowOff>
    </xdr:to>
    <xdr:pic>
      <xdr:nvPicPr>
        <xdr:cNvPr id="16357" name="Picture 5">
          <a:extLst>
            <a:ext uri="{FF2B5EF4-FFF2-40B4-BE49-F238E27FC236}">
              <a16:creationId xmlns:a16="http://schemas.microsoft.com/office/drawing/2014/main" id="{00000000-0008-0000-0600-0000E5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00600" y="476250"/>
          <a:ext cx="1714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0</xdr:row>
      <xdr:rowOff>139700</xdr:rowOff>
    </xdr:from>
    <xdr:to>
      <xdr:col>1</xdr:col>
      <xdr:colOff>914400</xdr:colOff>
      <xdr:row>1</xdr:row>
      <xdr:rowOff>139700</xdr:rowOff>
    </xdr:to>
    <xdr:pic>
      <xdr:nvPicPr>
        <xdr:cNvPr id="2" name="CommandButton1">
          <a:extLst>
            <a:ext uri="{FF2B5EF4-FFF2-40B4-BE49-F238E27FC236}">
              <a16:creationId xmlns:a16="http://schemas.microsoft.com/office/drawing/2014/main" id="{00000000-0008-0000-06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1</xdr:col>
      <xdr:colOff>1117600</xdr:colOff>
      <xdr:row>0</xdr:row>
      <xdr:rowOff>139700</xdr:rowOff>
    </xdr:from>
    <xdr:to>
      <xdr:col>3</xdr:col>
      <xdr:colOff>228600</xdr:colOff>
      <xdr:row>1</xdr:row>
      <xdr:rowOff>139700</xdr:rowOff>
    </xdr:to>
    <xdr:pic>
      <xdr:nvPicPr>
        <xdr:cNvPr id="3" name="CommandButton2">
          <a:extLst>
            <a:ext uri="{FF2B5EF4-FFF2-40B4-BE49-F238E27FC236}">
              <a16:creationId xmlns:a16="http://schemas.microsoft.com/office/drawing/2014/main" id="{00000000-0008-0000-06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43100" y="139700"/>
          <a:ext cx="1600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317500</xdr:colOff>
      <xdr:row>0</xdr:row>
      <xdr:rowOff>139700</xdr:rowOff>
    </xdr:from>
    <xdr:to>
      <xdr:col>6</xdr:col>
      <xdr:colOff>254000</xdr:colOff>
      <xdr:row>1</xdr:row>
      <xdr:rowOff>139700</xdr:rowOff>
    </xdr:to>
    <xdr:pic>
      <xdr:nvPicPr>
        <xdr:cNvPr id="4" name="CommandButton3">
          <a:extLst>
            <a:ext uri="{FF2B5EF4-FFF2-40B4-BE49-F238E27FC236}">
              <a16:creationId xmlns:a16="http://schemas.microsoft.com/office/drawing/2014/main" id="{00000000-0008-0000-06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88000" y="139700"/>
          <a:ext cx="10668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139700</xdr:rowOff>
    </xdr:from>
    <xdr:to>
      <xdr:col>1</xdr:col>
      <xdr:colOff>914400</xdr:colOff>
      <xdr:row>1</xdr:row>
      <xdr:rowOff>139700</xdr:rowOff>
    </xdr:to>
    <xdr:sp macro="" textlink="">
      <xdr:nvSpPr>
        <xdr:cNvPr id="45057" name="CommandButton1" hidden="1">
          <a:extLst>
            <a:ext uri="{63B3BB69-23CF-44E3-9099-C40C66FF867C}">
              <a14:compatExt xmlns:a14="http://schemas.microsoft.com/office/drawing/2010/main" spid="_x0000_s45057"/>
            </a:ext>
            <a:ext uri="{FF2B5EF4-FFF2-40B4-BE49-F238E27FC236}">
              <a16:creationId xmlns:a16="http://schemas.microsoft.com/office/drawing/2014/main" id="{00000000-0008-0000-0700-000001B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1</xdr:col>
      <xdr:colOff>1117600</xdr:colOff>
      <xdr:row>0</xdr:row>
      <xdr:rowOff>139700</xdr:rowOff>
    </xdr:from>
    <xdr:to>
      <xdr:col>3</xdr:col>
      <xdr:colOff>25400</xdr:colOff>
      <xdr:row>1</xdr:row>
      <xdr:rowOff>139700</xdr:rowOff>
    </xdr:to>
    <xdr:sp macro="" textlink="">
      <xdr:nvSpPr>
        <xdr:cNvPr id="45058" name="CommandButton2" hidden="1">
          <a:extLst>
            <a:ext uri="{63B3BB69-23CF-44E3-9099-C40C66FF867C}">
              <a14:compatExt xmlns:a14="http://schemas.microsoft.com/office/drawing/2010/main" spid="_x0000_s45058"/>
            </a:ext>
            <a:ext uri="{FF2B5EF4-FFF2-40B4-BE49-F238E27FC236}">
              <a16:creationId xmlns:a16="http://schemas.microsoft.com/office/drawing/2014/main" id="{00000000-0008-0000-0700-000002B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177800</xdr:colOff>
      <xdr:row>0</xdr:row>
      <xdr:rowOff>139700</xdr:rowOff>
    </xdr:from>
    <xdr:to>
      <xdr:col>6</xdr:col>
      <xdr:colOff>63500</xdr:colOff>
      <xdr:row>1</xdr:row>
      <xdr:rowOff>139700</xdr:rowOff>
    </xdr:to>
    <xdr:sp macro="" textlink="">
      <xdr:nvSpPr>
        <xdr:cNvPr id="45059" name="CommandButton3" hidden="1">
          <a:extLst>
            <a:ext uri="{63B3BB69-23CF-44E3-9099-C40C66FF867C}">
              <a14:compatExt xmlns:a14="http://schemas.microsoft.com/office/drawing/2010/main" spid="_x0000_s45059"/>
            </a:ext>
            <a:ext uri="{FF2B5EF4-FFF2-40B4-BE49-F238E27FC236}">
              <a16:creationId xmlns:a16="http://schemas.microsoft.com/office/drawing/2014/main" id="{00000000-0008-0000-0700-000003B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85725</xdr:colOff>
      <xdr:row>1</xdr:row>
      <xdr:rowOff>190500</xdr:rowOff>
    </xdr:from>
    <xdr:to>
      <xdr:col>7</xdr:col>
      <xdr:colOff>139700</xdr:colOff>
      <xdr:row>4</xdr:row>
      <xdr:rowOff>0</xdr:rowOff>
    </xdr:to>
    <xdr:pic>
      <xdr:nvPicPr>
        <xdr:cNvPr id="45713" name="Picture 5">
          <a:extLst>
            <a:ext uri="{FF2B5EF4-FFF2-40B4-BE49-F238E27FC236}">
              <a16:creationId xmlns:a16="http://schemas.microsoft.com/office/drawing/2014/main" id="{00000000-0008-0000-0700-000091B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0</xdr:row>
      <xdr:rowOff>139700</xdr:rowOff>
    </xdr:from>
    <xdr:to>
      <xdr:col>1</xdr:col>
      <xdr:colOff>914400</xdr:colOff>
      <xdr:row>1</xdr:row>
      <xdr:rowOff>139700</xdr:rowOff>
    </xdr:to>
    <xdr:pic>
      <xdr:nvPicPr>
        <xdr:cNvPr id="2" name="CommandButton1">
          <a:extLst>
            <a:ext uri="{FF2B5EF4-FFF2-40B4-BE49-F238E27FC236}">
              <a16:creationId xmlns:a16="http://schemas.microsoft.com/office/drawing/2014/main" id="{00000000-0008-0000-0700-000002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1</xdr:col>
      <xdr:colOff>1117600</xdr:colOff>
      <xdr:row>0</xdr:row>
      <xdr:rowOff>139700</xdr:rowOff>
    </xdr:from>
    <xdr:to>
      <xdr:col>3</xdr:col>
      <xdr:colOff>25400</xdr:colOff>
      <xdr:row>1</xdr:row>
      <xdr:rowOff>139700</xdr:rowOff>
    </xdr:to>
    <xdr:pic>
      <xdr:nvPicPr>
        <xdr:cNvPr id="3" name="CommandButton2">
          <a:extLst>
            <a:ext uri="{FF2B5EF4-FFF2-40B4-BE49-F238E27FC236}">
              <a16:creationId xmlns:a16="http://schemas.microsoft.com/office/drawing/2014/main" id="{00000000-0008-0000-07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43100" y="139700"/>
          <a:ext cx="16256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177800</xdr:colOff>
      <xdr:row>0</xdr:row>
      <xdr:rowOff>139700</xdr:rowOff>
    </xdr:from>
    <xdr:to>
      <xdr:col>6</xdr:col>
      <xdr:colOff>63500</xdr:colOff>
      <xdr:row>1</xdr:row>
      <xdr:rowOff>139700</xdr:rowOff>
    </xdr:to>
    <xdr:pic>
      <xdr:nvPicPr>
        <xdr:cNvPr id="4" name="CommandButton3">
          <a:extLst>
            <a:ext uri="{FF2B5EF4-FFF2-40B4-BE49-F238E27FC236}">
              <a16:creationId xmlns:a16="http://schemas.microsoft.com/office/drawing/2014/main" id="{00000000-0008-0000-07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54700" y="139700"/>
          <a:ext cx="10922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63500</xdr:colOff>
      <xdr:row>0</xdr:row>
      <xdr:rowOff>139700</xdr:rowOff>
    </xdr:from>
    <xdr:to>
      <xdr:col>1</xdr:col>
      <xdr:colOff>977900</xdr:colOff>
      <xdr:row>1</xdr:row>
      <xdr:rowOff>139700</xdr:rowOff>
    </xdr:to>
    <xdr:sp macro="" textlink="">
      <xdr:nvSpPr>
        <xdr:cNvPr id="16514" name="CommandButton1" hidden="1">
          <a:extLst>
            <a:ext uri="{63B3BB69-23CF-44E3-9099-C40C66FF867C}">
              <a14:compatExt xmlns:a14="http://schemas.microsoft.com/office/drawing/2010/main" spid="_x0000_s16514"/>
            </a:ext>
            <a:ext uri="{FF2B5EF4-FFF2-40B4-BE49-F238E27FC236}">
              <a16:creationId xmlns:a16="http://schemas.microsoft.com/office/drawing/2014/main" id="{00000000-0008-0000-0800-0000824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absolute">
    <xdr:from>
      <xdr:col>2</xdr:col>
      <xdr:colOff>63500</xdr:colOff>
      <xdr:row>0</xdr:row>
      <xdr:rowOff>139700</xdr:rowOff>
    </xdr:from>
    <xdr:to>
      <xdr:col>3</xdr:col>
      <xdr:colOff>520700</xdr:colOff>
      <xdr:row>1</xdr:row>
      <xdr:rowOff>139700</xdr:rowOff>
    </xdr:to>
    <xdr:sp macro="" textlink="">
      <xdr:nvSpPr>
        <xdr:cNvPr id="16515" name="CommandButton2" hidden="1">
          <a:extLst>
            <a:ext uri="{63B3BB69-23CF-44E3-9099-C40C66FF867C}">
              <a14:compatExt xmlns:a14="http://schemas.microsoft.com/office/drawing/2010/main" spid="_x0000_s16515"/>
            </a:ext>
            <a:ext uri="{FF2B5EF4-FFF2-40B4-BE49-F238E27FC236}">
              <a16:creationId xmlns:a16="http://schemas.microsoft.com/office/drawing/2014/main" id="{00000000-0008-0000-0800-0000834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292100</xdr:colOff>
      <xdr:row>0</xdr:row>
      <xdr:rowOff>139700</xdr:rowOff>
    </xdr:from>
    <xdr:to>
      <xdr:col>5</xdr:col>
      <xdr:colOff>355600</xdr:colOff>
      <xdr:row>1</xdr:row>
      <xdr:rowOff>139700</xdr:rowOff>
    </xdr:to>
    <xdr:sp macro="" textlink="">
      <xdr:nvSpPr>
        <xdr:cNvPr id="16712" name="CommandButton3" hidden="1">
          <a:extLst>
            <a:ext uri="{63B3BB69-23CF-44E3-9099-C40C66FF867C}">
              <a14:compatExt xmlns:a14="http://schemas.microsoft.com/office/drawing/2010/main" spid="_x0000_s16712"/>
            </a:ext>
            <a:ext uri="{FF2B5EF4-FFF2-40B4-BE49-F238E27FC236}">
              <a16:creationId xmlns:a16="http://schemas.microsoft.com/office/drawing/2014/main" id="{00000000-0008-0000-0800-00004841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209550</xdr:colOff>
      <xdr:row>1</xdr:row>
      <xdr:rowOff>180975</xdr:rowOff>
    </xdr:from>
    <xdr:to>
      <xdr:col>6</xdr:col>
      <xdr:colOff>234950</xdr:colOff>
      <xdr:row>3</xdr:row>
      <xdr:rowOff>152400</xdr:rowOff>
    </xdr:to>
    <xdr:pic>
      <xdr:nvPicPr>
        <xdr:cNvPr id="52124" name="Picture 6">
          <a:extLst>
            <a:ext uri="{FF2B5EF4-FFF2-40B4-BE49-F238E27FC236}">
              <a16:creationId xmlns:a16="http://schemas.microsoft.com/office/drawing/2014/main" id="{00000000-0008-0000-0800-00009CC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914900" y="495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749300</xdr:colOff>
      <xdr:row>11</xdr:row>
      <xdr:rowOff>317500</xdr:rowOff>
    </xdr:from>
    <xdr:to>
      <xdr:col>9</xdr:col>
      <xdr:colOff>342900</xdr:colOff>
      <xdr:row>11</xdr:row>
      <xdr:rowOff>635000</xdr:rowOff>
    </xdr:to>
    <xdr:sp macro="" textlink="">
      <xdr:nvSpPr>
        <xdr:cNvPr id="51809" name="CommandButton4" hidden="1">
          <a:extLst>
            <a:ext uri="{63B3BB69-23CF-44E3-9099-C40C66FF867C}">
              <a14:compatExt xmlns:a14="http://schemas.microsoft.com/office/drawing/2010/main" spid="_x0000_s51809"/>
            </a:ext>
            <a:ext uri="{FF2B5EF4-FFF2-40B4-BE49-F238E27FC236}">
              <a16:creationId xmlns:a16="http://schemas.microsoft.com/office/drawing/2014/main" id="{00000000-0008-0000-0800-000061CA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469900</xdr:colOff>
      <xdr:row>0</xdr:row>
      <xdr:rowOff>139700</xdr:rowOff>
    </xdr:from>
    <xdr:to>
      <xdr:col>7</xdr:col>
      <xdr:colOff>825500</xdr:colOff>
      <xdr:row>1</xdr:row>
      <xdr:rowOff>139700</xdr:rowOff>
    </xdr:to>
    <xdr:sp macro="" textlink="">
      <xdr:nvSpPr>
        <xdr:cNvPr id="51833" name="CommandButton5" hidden="1">
          <a:extLst>
            <a:ext uri="{63B3BB69-23CF-44E3-9099-C40C66FF867C}">
              <a14:compatExt xmlns:a14="http://schemas.microsoft.com/office/drawing/2010/main" spid="_x0000_s51833"/>
            </a:ext>
            <a:ext uri="{FF2B5EF4-FFF2-40B4-BE49-F238E27FC236}">
              <a16:creationId xmlns:a16="http://schemas.microsoft.com/office/drawing/2014/main" id="{00000000-0008-0000-0800-000079CA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22412</xdr:colOff>
      <xdr:row>71</xdr:row>
      <xdr:rowOff>14942</xdr:rowOff>
    </xdr:from>
    <xdr:to>
      <xdr:col>5</xdr:col>
      <xdr:colOff>709149</xdr:colOff>
      <xdr:row>102</xdr:row>
      <xdr:rowOff>86598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22412" y="13544177"/>
          <a:ext cx="6536208" cy="4935009"/>
        </a:xfrm>
        <a:prstGeom prst="rect">
          <a:avLst/>
        </a:prstGeom>
        <a:ln>
          <a:solidFill>
            <a:sysClr val="windowText" lastClr="000000"/>
          </a:solidFill>
        </a:ln>
      </xdr:spPr>
    </xdr:pic>
    <xdr:clientData/>
  </xdr:twoCellAnchor>
  <xdr:twoCellAnchor editAs="absolute">
    <xdr:from>
      <xdr:col>1</xdr:col>
      <xdr:colOff>63500</xdr:colOff>
      <xdr:row>0</xdr:row>
      <xdr:rowOff>139700</xdr:rowOff>
    </xdr:from>
    <xdr:to>
      <xdr:col>1</xdr:col>
      <xdr:colOff>977900</xdr:colOff>
      <xdr:row>1</xdr:row>
      <xdr:rowOff>139700</xdr:rowOff>
    </xdr:to>
    <xdr:pic>
      <xdr:nvPicPr>
        <xdr:cNvPr id="3" name="CommandButton1">
          <a:extLst>
            <a:ext uri="{FF2B5EF4-FFF2-40B4-BE49-F238E27FC236}">
              <a16:creationId xmlns:a16="http://schemas.microsoft.com/office/drawing/2014/main" id="{00000000-0008-0000-08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2800" y="139700"/>
          <a:ext cx="914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absolute">
    <xdr:from>
      <xdr:col>2</xdr:col>
      <xdr:colOff>63500</xdr:colOff>
      <xdr:row>0</xdr:row>
      <xdr:rowOff>139700</xdr:rowOff>
    </xdr:from>
    <xdr:to>
      <xdr:col>3</xdr:col>
      <xdr:colOff>520700</xdr:colOff>
      <xdr:row>1</xdr:row>
      <xdr:rowOff>139700</xdr:rowOff>
    </xdr:to>
    <xdr:pic>
      <xdr:nvPicPr>
        <xdr:cNvPr id="4" name="CommandButton2">
          <a:extLst>
            <a:ext uri="{FF2B5EF4-FFF2-40B4-BE49-F238E27FC236}">
              <a16:creationId xmlns:a16="http://schemas.microsoft.com/office/drawing/2014/main" id="{00000000-0008-0000-08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95500" y="139700"/>
          <a:ext cx="14097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292100</xdr:colOff>
      <xdr:row>0</xdr:row>
      <xdr:rowOff>139700</xdr:rowOff>
    </xdr:from>
    <xdr:to>
      <xdr:col>5</xdr:col>
      <xdr:colOff>355600</xdr:colOff>
      <xdr:row>1</xdr:row>
      <xdr:rowOff>139700</xdr:rowOff>
    </xdr:to>
    <xdr:pic>
      <xdr:nvPicPr>
        <xdr:cNvPr id="5" name="CommandButton3">
          <a:extLst>
            <a:ext uri="{FF2B5EF4-FFF2-40B4-BE49-F238E27FC236}">
              <a16:creationId xmlns:a16="http://schemas.microsoft.com/office/drawing/2014/main" id="{00000000-0008-0000-08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76900" y="139700"/>
          <a:ext cx="10668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749300</xdr:colOff>
      <xdr:row>11</xdr:row>
      <xdr:rowOff>317500</xdr:rowOff>
    </xdr:from>
    <xdr:to>
      <xdr:col>9</xdr:col>
      <xdr:colOff>342900</xdr:colOff>
      <xdr:row>11</xdr:row>
      <xdr:rowOff>635000</xdr:rowOff>
    </xdr:to>
    <xdr:pic>
      <xdr:nvPicPr>
        <xdr:cNvPr id="6" name="CommandButton4">
          <a:extLst>
            <a:ext uri="{FF2B5EF4-FFF2-40B4-BE49-F238E27FC236}">
              <a16:creationId xmlns:a16="http://schemas.microsoft.com/office/drawing/2014/main" id="{00000000-0008-0000-0800-000006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66100" y="3517900"/>
          <a:ext cx="26543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469900</xdr:colOff>
      <xdr:row>0</xdr:row>
      <xdr:rowOff>139700</xdr:rowOff>
    </xdr:from>
    <xdr:to>
      <xdr:col>7</xdr:col>
      <xdr:colOff>825500</xdr:colOff>
      <xdr:row>1</xdr:row>
      <xdr:rowOff>139700</xdr:rowOff>
    </xdr:to>
    <xdr:pic>
      <xdr:nvPicPr>
        <xdr:cNvPr id="7" name="CommandButton5">
          <a:extLst>
            <a:ext uri="{FF2B5EF4-FFF2-40B4-BE49-F238E27FC236}">
              <a16:creationId xmlns:a16="http://schemas.microsoft.com/office/drawing/2014/main" id="{00000000-0008-0000-0800-000007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58000" y="139700"/>
          <a:ext cx="24130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ferenc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hyperlink" Target="https://www.epa.gov/system/files/documents/2022-09/Simplified_Guide_GHG_Management_Organizations.pdf" TargetMode="External"/><Relationship Id="rId7" Type="http://schemas.openxmlformats.org/officeDocument/2006/relationships/ctrlProp" Target="../ctrlProps/ctrlProp1.xml"/><Relationship Id="rId2" Type="http://schemas.openxmlformats.org/officeDocument/2006/relationships/hyperlink" Target="https://www.epa.gov/ghgreporting" TargetMode="External"/><Relationship Id="rId1" Type="http://schemas.openxmlformats.org/officeDocument/2006/relationships/hyperlink" Target="https://www.epa.gov/ghgreporting"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 Id="rId9" Type="http://schemas.openxmlformats.org/officeDocument/2006/relationships/ctrlProp" Target="../ctrlProps/ctrlProp3.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epa.gov/climateleadership/center-corporate-climate-leadership-ghg-emission-factors-hub"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trlProp" Target="../ctrlProps/ctrlProp4.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eia.gov/consumption/commercial/data/2018/index.php?view=characteristics"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www.fueleconomy.gov/"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http://www.epa.gov/ozone/snap/refrigerants/refblend.html"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7.bin"/><Relationship Id="rId1" Type="http://schemas.openxmlformats.org/officeDocument/2006/relationships/hyperlink" Target="https://www.epa.gov/climateleadership/center-corporate-climate-leadership-greenhouse-gas-inventory-guidance" TargetMode="External"/><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epa.gov/climateleadership/target-setting"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epa.gov/egrid/power-profile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dimension ref="A1:AG285"/>
  <sheetViews>
    <sheetView topLeftCell="A12" zoomScale="80" zoomScaleNormal="80" workbookViewId="0"/>
  </sheetViews>
  <sheetFormatPr defaultColWidth="8.85546875" defaultRowHeight="12.75"/>
  <cols>
    <col min="1" max="1" width="9.140625" customWidth="1"/>
    <col min="3" max="3" width="14.140625" customWidth="1"/>
    <col min="4" max="4" width="31.85546875" customWidth="1"/>
    <col min="5" max="5" width="10.85546875" customWidth="1"/>
    <col min="6" max="6" width="11.85546875" customWidth="1"/>
    <col min="7" max="7" width="9.85546875" customWidth="1"/>
    <col min="9" max="9" width="10.140625" customWidth="1"/>
    <col min="10" max="10" width="9.42578125" customWidth="1"/>
  </cols>
  <sheetData>
    <row r="1" spans="1:33" ht="147.7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row>
    <row r="2" spans="1:33" ht="54"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row>
    <row r="3" spans="1:33" ht="23.25">
      <c r="A3" s="524" t="s">
        <v>1291</v>
      </c>
      <c r="B3" s="525"/>
      <c r="C3" s="525"/>
      <c r="D3" s="525"/>
      <c r="E3" s="525"/>
      <c r="F3" s="525"/>
      <c r="I3" s="992" t="s">
        <v>1295</v>
      </c>
      <c r="J3" s="526"/>
      <c r="K3" s="526"/>
      <c r="L3" s="162"/>
      <c r="M3" s="162"/>
      <c r="N3" s="162"/>
      <c r="O3" s="162"/>
      <c r="P3" s="162"/>
      <c r="Q3" s="162"/>
      <c r="R3" s="162"/>
      <c r="S3" s="162"/>
      <c r="T3" s="162"/>
      <c r="U3" s="162"/>
      <c r="V3" s="162"/>
      <c r="W3" s="162"/>
      <c r="X3" s="162"/>
      <c r="Y3" s="162"/>
      <c r="Z3" s="162"/>
      <c r="AA3" s="162"/>
      <c r="AB3" s="162"/>
      <c r="AC3" s="162"/>
      <c r="AD3" s="162"/>
      <c r="AE3" s="162"/>
      <c r="AF3" s="162"/>
      <c r="AG3" s="162"/>
    </row>
    <row r="4" spans="1:33" ht="70.5" customHeight="1">
      <c r="A4" s="1111" t="s">
        <v>1121</v>
      </c>
      <c r="B4" s="1111"/>
      <c r="C4" s="1111"/>
      <c r="D4" s="1111"/>
      <c r="E4" s="1111"/>
      <c r="F4" s="1111"/>
      <c r="G4" s="1111"/>
      <c r="H4" s="1111"/>
      <c r="I4" s="1111"/>
      <c r="J4" s="1111"/>
      <c r="K4" s="1112"/>
      <c r="L4" s="162"/>
      <c r="M4" s="162"/>
      <c r="N4" s="162"/>
      <c r="O4" s="162"/>
      <c r="P4" s="162"/>
      <c r="Q4" s="162"/>
      <c r="R4" s="162"/>
      <c r="S4" s="162"/>
      <c r="T4" s="162"/>
      <c r="U4" s="162"/>
      <c r="V4" s="162"/>
      <c r="W4" s="162"/>
      <c r="X4" s="162"/>
      <c r="Y4" s="162"/>
      <c r="Z4" s="162"/>
      <c r="AA4" s="162"/>
      <c r="AB4" s="162"/>
      <c r="AC4" s="162"/>
      <c r="AD4" s="162"/>
      <c r="AE4" s="162"/>
      <c r="AF4" s="162"/>
      <c r="AG4" s="162"/>
    </row>
    <row r="5" spans="1:33" ht="16.5" customHeight="1">
      <c r="A5" s="162"/>
      <c r="B5" s="162"/>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row>
    <row r="6" spans="1:33" ht="35.25" customHeight="1">
      <c r="A6" s="1123" t="s">
        <v>1292</v>
      </c>
      <c r="B6" s="1123"/>
      <c r="C6" s="1123"/>
      <c r="D6" s="1123"/>
      <c r="E6" s="1123"/>
      <c r="F6" s="1123"/>
      <c r="G6" s="1123"/>
      <c r="H6" s="1123"/>
      <c r="I6" s="1123"/>
      <c r="J6" s="1123"/>
      <c r="K6" s="1124"/>
      <c r="L6" s="162"/>
      <c r="M6" s="162"/>
      <c r="N6" s="162"/>
      <c r="O6" s="162"/>
      <c r="P6" s="162"/>
      <c r="Q6" s="162"/>
      <c r="R6" s="162"/>
      <c r="S6" s="162"/>
      <c r="T6" s="162"/>
      <c r="U6" s="162"/>
      <c r="V6" s="162"/>
      <c r="W6" s="162"/>
      <c r="X6" s="162"/>
      <c r="Y6" s="162"/>
      <c r="Z6" s="162"/>
      <c r="AA6" s="162"/>
      <c r="AB6" s="162"/>
      <c r="AC6" s="162"/>
      <c r="AD6" s="162"/>
      <c r="AE6" s="162"/>
      <c r="AF6" s="162"/>
      <c r="AG6" s="162"/>
    </row>
    <row r="7" spans="1:33" ht="14.25">
      <c r="A7" s="528"/>
      <c r="B7" s="530" t="s">
        <v>1274</v>
      </c>
      <c r="C7" s="529"/>
      <c r="D7" s="1133" t="s">
        <v>1294</v>
      </c>
      <c r="E7" s="1133"/>
      <c r="F7" s="1133"/>
      <c r="G7" s="1133"/>
      <c r="H7" s="1133"/>
      <c r="I7" s="1133"/>
      <c r="J7" s="1133"/>
      <c r="K7" s="1134"/>
      <c r="L7" s="707"/>
      <c r="M7" s="162"/>
      <c r="N7" s="162"/>
      <c r="O7" s="162"/>
      <c r="P7" s="162"/>
      <c r="Q7" s="162"/>
      <c r="R7" s="162"/>
      <c r="S7" s="162"/>
      <c r="T7" s="162"/>
      <c r="U7" s="162"/>
      <c r="V7" s="162"/>
      <c r="W7" s="162"/>
      <c r="X7" s="162"/>
      <c r="Y7" s="162"/>
      <c r="Z7" s="162"/>
      <c r="AA7" s="162"/>
      <c r="AB7" s="162"/>
      <c r="AC7" s="162"/>
      <c r="AD7" s="162"/>
      <c r="AE7" s="162"/>
      <c r="AF7" s="162"/>
      <c r="AG7" s="162"/>
    </row>
    <row r="8" spans="1:33" ht="6" customHeight="1">
      <c r="A8" s="183"/>
      <c r="B8" s="328"/>
      <c r="C8" s="328"/>
      <c r="D8" s="408"/>
      <c r="E8" s="408"/>
      <c r="F8" s="408"/>
      <c r="G8" s="408"/>
      <c r="H8" s="408"/>
      <c r="I8" s="408"/>
      <c r="J8" s="328"/>
      <c r="K8" s="328"/>
      <c r="L8" s="162"/>
      <c r="M8" s="162"/>
      <c r="N8" s="162"/>
      <c r="O8" s="162"/>
      <c r="P8" s="162"/>
      <c r="Q8" s="162"/>
      <c r="R8" s="162"/>
      <c r="S8" s="162"/>
      <c r="T8" s="162"/>
      <c r="U8" s="162"/>
      <c r="V8" s="162"/>
      <c r="W8" s="162"/>
      <c r="X8" s="162"/>
      <c r="Y8" s="162"/>
      <c r="Z8" s="162"/>
      <c r="AA8" s="162"/>
      <c r="AB8" s="162"/>
      <c r="AC8" s="162"/>
      <c r="AD8" s="162"/>
      <c r="AE8" s="162"/>
      <c r="AF8" s="162"/>
      <c r="AG8" s="162"/>
    </row>
    <row r="9" spans="1:33" ht="15.75">
      <c r="A9" s="1130" t="s">
        <v>558</v>
      </c>
      <c r="B9" s="1131"/>
      <c r="C9" s="1131"/>
      <c r="D9" s="1131"/>
      <c r="E9" s="1131"/>
      <c r="F9" s="1131"/>
      <c r="G9" s="1131"/>
      <c r="H9" s="1131"/>
      <c r="I9" s="1131"/>
      <c r="J9" s="1131"/>
      <c r="K9" s="1132"/>
      <c r="L9" s="162"/>
      <c r="M9" s="162"/>
      <c r="N9" s="162"/>
      <c r="O9" s="162"/>
      <c r="P9" s="162"/>
      <c r="Q9" s="162"/>
      <c r="R9" s="162"/>
      <c r="S9" s="162"/>
      <c r="T9" s="162"/>
      <c r="U9" s="162"/>
      <c r="V9" s="162"/>
      <c r="W9" s="162"/>
      <c r="X9" s="162"/>
      <c r="Y9" s="162"/>
      <c r="Z9" s="162"/>
      <c r="AA9" s="162"/>
      <c r="AB9" s="162"/>
      <c r="AC9" s="162"/>
      <c r="AD9" s="162"/>
      <c r="AE9" s="162"/>
      <c r="AF9" s="162"/>
      <c r="AG9" s="162"/>
    </row>
    <row r="10" spans="1:33" ht="56.25" customHeight="1">
      <c r="A10" s="329"/>
      <c r="B10" s="1113" t="s">
        <v>692</v>
      </c>
      <c r="C10" s="1113"/>
      <c r="D10" s="1113"/>
      <c r="E10" s="1113"/>
      <c r="F10" s="1113"/>
      <c r="G10" s="1113"/>
      <c r="H10" s="1113"/>
      <c r="I10" s="1113"/>
      <c r="J10" s="1113"/>
      <c r="K10" s="1114"/>
      <c r="L10" s="162"/>
      <c r="M10" s="161"/>
      <c r="N10" s="202"/>
      <c r="O10" s="162"/>
      <c r="P10" s="162"/>
      <c r="Q10" s="162"/>
      <c r="R10" s="162"/>
      <c r="S10" s="162"/>
      <c r="T10" s="162"/>
      <c r="U10" s="162"/>
      <c r="V10" s="162"/>
      <c r="W10" s="162"/>
      <c r="X10" s="162"/>
      <c r="Y10" s="162"/>
      <c r="Z10" s="162"/>
      <c r="AA10" s="162"/>
      <c r="AB10" s="162"/>
      <c r="AC10" s="162"/>
      <c r="AD10" s="162"/>
      <c r="AE10" s="162"/>
      <c r="AF10" s="162"/>
      <c r="AG10" s="162"/>
    </row>
    <row r="11" spans="1:33" ht="14.25" customHeight="1">
      <c r="A11" s="330"/>
      <c r="B11" s="531"/>
      <c r="C11" s="1115" t="s">
        <v>317</v>
      </c>
      <c r="D11" s="1115"/>
      <c r="E11" s="1115"/>
      <c r="F11" s="1115"/>
      <c r="G11" s="1115"/>
      <c r="H11" s="1115"/>
      <c r="I11" s="1115"/>
      <c r="J11" s="1115"/>
      <c r="K11" s="1116"/>
      <c r="L11" s="162"/>
      <c r="M11" s="161"/>
      <c r="N11" s="202"/>
      <c r="O11" s="162"/>
      <c r="P11" s="162"/>
      <c r="Q11" s="162"/>
      <c r="R11" s="162"/>
      <c r="S11" s="162"/>
      <c r="T11" s="162"/>
      <c r="U11" s="162"/>
      <c r="V11" s="162"/>
      <c r="W11" s="162"/>
      <c r="X11" s="162"/>
      <c r="Y11" s="162"/>
      <c r="Z11" s="162"/>
      <c r="AA11" s="162"/>
      <c r="AB11" s="162"/>
      <c r="AC11" s="162"/>
      <c r="AD11" s="162"/>
      <c r="AE11" s="162"/>
      <c r="AF11" s="162"/>
      <c r="AG11" s="162"/>
    </row>
    <row r="12" spans="1:33" s="18" customFormat="1" ht="54.75" customHeight="1">
      <c r="A12" s="489"/>
      <c r="B12" s="1139" t="s">
        <v>693</v>
      </c>
      <c r="C12" s="1139"/>
      <c r="D12" s="1139"/>
      <c r="E12" s="1139"/>
      <c r="F12" s="1139"/>
      <c r="G12" s="1139"/>
      <c r="H12" s="1139"/>
      <c r="I12" s="1139"/>
      <c r="J12" s="1139"/>
      <c r="K12" s="1140"/>
      <c r="L12" s="335"/>
      <c r="M12" s="490"/>
      <c r="N12" s="343"/>
      <c r="O12" s="335"/>
      <c r="P12" s="335"/>
      <c r="Q12" s="335"/>
      <c r="R12" s="335"/>
      <c r="S12" s="335"/>
      <c r="T12" s="335"/>
      <c r="U12" s="335"/>
      <c r="V12" s="335"/>
      <c r="W12" s="335"/>
      <c r="X12" s="335"/>
      <c r="Y12" s="335"/>
      <c r="Z12" s="335"/>
      <c r="AA12" s="335"/>
      <c r="AB12" s="335"/>
      <c r="AC12" s="335"/>
      <c r="AD12" s="335"/>
      <c r="AE12" s="335"/>
      <c r="AF12" s="335"/>
      <c r="AG12" s="335"/>
    </row>
    <row r="13" spans="1:33" ht="6.75" customHeight="1">
      <c r="A13" s="331"/>
      <c r="B13" s="485"/>
      <c r="C13" s="485"/>
      <c r="D13" s="485"/>
      <c r="E13" s="485"/>
      <c r="F13" s="485"/>
      <c r="G13" s="485"/>
      <c r="H13" s="485"/>
      <c r="I13" s="485"/>
      <c r="J13" s="485"/>
      <c r="K13" s="486"/>
      <c r="L13" s="162"/>
      <c r="M13" s="161"/>
      <c r="N13" s="162"/>
      <c r="O13" s="162"/>
      <c r="P13" s="162"/>
      <c r="Q13" s="162"/>
      <c r="R13" s="162"/>
      <c r="S13" s="162"/>
      <c r="T13" s="162"/>
      <c r="U13" s="162"/>
      <c r="V13" s="162"/>
      <c r="W13" s="162"/>
      <c r="X13" s="162"/>
      <c r="Y13" s="162"/>
      <c r="Z13" s="162"/>
      <c r="AA13" s="162"/>
      <c r="AB13" s="162"/>
      <c r="AC13" s="162"/>
      <c r="AD13" s="162"/>
      <c r="AE13" s="162"/>
      <c r="AF13" s="162"/>
      <c r="AG13" s="162"/>
    </row>
    <row r="14" spans="1:33" ht="17.25" customHeight="1">
      <c r="A14" s="331"/>
      <c r="B14" s="485"/>
      <c r="C14" s="487"/>
      <c r="D14" s="540" t="s">
        <v>618</v>
      </c>
      <c r="E14" s="487"/>
      <c r="F14" s="487"/>
      <c r="G14" s="487"/>
      <c r="H14" s="485"/>
      <c r="I14" s="485"/>
      <c r="J14" s="485"/>
      <c r="K14" s="486"/>
      <c r="M14" s="183" t="s">
        <v>246</v>
      </c>
      <c r="N14" s="183" t="s">
        <v>246</v>
      </c>
      <c r="O14" s="183" t="s">
        <v>246</v>
      </c>
      <c r="P14" s="183" t="s">
        <v>246</v>
      </c>
      <c r="Q14" s="183" t="s">
        <v>246</v>
      </c>
      <c r="R14" s="183" t="s">
        <v>246</v>
      </c>
      <c r="S14" s="162"/>
      <c r="T14" s="162"/>
      <c r="U14" s="162"/>
      <c r="V14" s="162"/>
      <c r="W14" s="162"/>
      <c r="X14" s="162"/>
      <c r="Y14" s="162"/>
      <c r="Z14" s="162"/>
      <c r="AA14" s="162"/>
      <c r="AB14" s="162"/>
      <c r="AC14" s="162"/>
      <c r="AD14" s="162"/>
      <c r="AE14" s="162"/>
      <c r="AF14" s="162"/>
      <c r="AG14" s="162"/>
    </row>
    <row r="15" spans="1:33" ht="43.5" customHeight="1">
      <c r="A15" s="332"/>
      <c r="B15" s="1145" t="s">
        <v>694</v>
      </c>
      <c r="C15" s="1145"/>
      <c r="D15" s="1145"/>
      <c r="E15" s="1145"/>
      <c r="F15" s="1145"/>
      <c r="G15" s="1145"/>
      <c r="H15" s="1145"/>
      <c r="I15" s="1145"/>
      <c r="J15" s="1145"/>
      <c r="K15" s="1146"/>
      <c r="L15" s="183" t="s">
        <v>246</v>
      </c>
      <c r="M15" s="183" t="s">
        <v>246</v>
      </c>
      <c r="N15" s="162"/>
      <c r="O15" s="162"/>
      <c r="P15" s="162"/>
      <c r="Q15" s="162"/>
      <c r="R15" s="162"/>
      <c r="S15" s="162"/>
      <c r="T15" s="162"/>
      <c r="U15" s="162"/>
      <c r="V15" s="162"/>
      <c r="W15" s="162"/>
      <c r="X15" s="162"/>
      <c r="Y15" s="162"/>
      <c r="Z15" s="162"/>
      <c r="AA15" s="162"/>
      <c r="AB15" s="162"/>
      <c r="AC15" s="162"/>
      <c r="AD15" s="162"/>
      <c r="AE15" s="162"/>
      <c r="AF15" s="162"/>
      <c r="AG15" s="162"/>
    </row>
    <row r="16" spans="1:33" ht="6" customHeight="1">
      <c r="A16" s="333"/>
      <c r="B16" s="327"/>
      <c r="C16" s="327"/>
      <c r="D16" s="327"/>
      <c r="E16" s="327"/>
      <c r="F16" s="327"/>
      <c r="G16" s="327"/>
      <c r="H16" s="327"/>
      <c r="I16" s="327"/>
      <c r="J16" s="327"/>
      <c r="K16" s="327"/>
      <c r="L16" s="162"/>
      <c r="M16" s="183"/>
      <c r="N16" s="162"/>
      <c r="O16" s="162"/>
      <c r="P16" s="162"/>
      <c r="Q16" s="162"/>
      <c r="R16" s="162"/>
      <c r="S16" s="162"/>
      <c r="T16" s="162"/>
      <c r="U16" s="162"/>
      <c r="V16" s="162"/>
      <c r="W16" s="162"/>
      <c r="X16" s="162"/>
      <c r="Y16" s="162"/>
      <c r="Z16" s="162"/>
      <c r="AA16" s="162"/>
      <c r="AB16" s="162"/>
      <c r="AC16" s="162"/>
      <c r="AD16" s="162"/>
      <c r="AE16" s="162"/>
      <c r="AF16" s="162"/>
      <c r="AG16" s="162"/>
    </row>
    <row r="17" spans="1:33" ht="15.75">
      <c r="A17" s="532" t="s">
        <v>695</v>
      </c>
      <c r="B17" s="533"/>
      <c r="C17" s="533"/>
      <c r="D17" s="533"/>
      <c r="E17" s="533"/>
      <c r="F17" s="533"/>
      <c r="G17" s="533"/>
      <c r="H17" s="533"/>
      <c r="I17" s="533"/>
      <c r="J17" s="533"/>
      <c r="K17" s="534"/>
      <c r="L17" s="162"/>
      <c r="M17" s="162"/>
      <c r="N17" s="162"/>
      <c r="O17" s="162"/>
      <c r="P17" s="162"/>
      <c r="Q17" s="162"/>
      <c r="R17" s="162"/>
      <c r="S17" s="162"/>
      <c r="T17" s="162"/>
      <c r="U17" s="162"/>
      <c r="V17" s="162"/>
      <c r="W17" s="162"/>
      <c r="X17" s="162"/>
      <c r="Y17" s="162"/>
      <c r="Z17" s="162"/>
      <c r="AA17" s="162"/>
      <c r="AB17" s="162"/>
      <c r="AC17" s="162"/>
      <c r="AD17" s="162"/>
      <c r="AE17" s="162"/>
      <c r="AF17" s="162"/>
      <c r="AG17" s="162"/>
    </row>
    <row r="18" spans="1:33" ht="33.75" customHeight="1">
      <c r="A18" s="1147" t="s">
        <v>944</v>
      </c>
      <c r="B18" s="1148"/>
      <c r="C18" s="1148"/>
      <c r="D18" s="1148"/>
      <c r="E18" s="1148"/>
      <c r="F18" s="1148"/>
      <c r="G18" s="1148"/>
      <c r="H18" s="1148"/>
      <c r="I18" s="1148"/>
      <c r="J18" s="1148"/>
      <c r="K18" s="1149"/>
      <c r="L18" s="162"/>
      <c r="M18" s="162"/>
      <c r="N18" s="162"/>
      <c r="O18" s="162"/>
      <c r="P18" s="162"/>
      <c r="Q18" s="162"/>
      <c r="R18" s="162"/>
      <c r="S18" s="162"/>
      <c r="T18" s="162"/>
      <c r="U18" s="162"/>
      <c r="V18" s="162"/>
      <c r="W18" s="162"/>
      <c r="X18" s="162"/>
      <c r="Y18" s="162"/>
      <c r="Z18" s="162"/>
      <c r="AA18" s="162"/>
      <c r="AB18" s="162"/>
      <c r="AC18" s="162"/>
      <c r="AD18" s="162"/>
      <c r="AE18" s="162"/>
      <c r="AF18" s="162"/>
      <c r="AG18" s="162"/>
    </row>
    <row r="19" spans="1:33" ht="30.75" customHeight="1">
      <c r="A19" s="1117" t="s">
        <v>721</v>
      </c>
      <c r="B19" s="1118"/>
      <c r="C19" s="1118"/>
      <c r="D19" s="1118"/>
      <c r="E19" s="1118"/>
      <c r="F19" s="1118"/>
      <c r="G19" s="1118"/>
      <c r="H19" s="1118"/>
      <c r="I19" s="1118"/>
      <c r="J19" s="1118"/>
      <c r="K19" s="1119"/>
      <c r="L19" s="162"/>
      <c r="M19" s="162"/>
      <c r="N19" s="162"/>
      <c r="O19" s="162"/>
      <c r="P19" s="162"/>
      <c r="Q19" s="162"/>
      <c r="R19" s="162"/>
      <c r="S19" s="162"/>
      <c r="T19" s="162"/>
      <c r="U19" s="162"/>
      <c r="V19" s="162"/>
      <c r="W19" s="162"/>
      <c r="X19" s="162"/>
      <c r="Y19" s="162"/>
      <c r="Z19" s="162"/>
      <c r="AA19" s="162"/>
      <c r="AB19" s="162"/>
      <c r="AC19" s="162"/>
      <c r="AD19" s="162"/>
      <c r="AE19" s="162"/>
      <c r="AF19" s="162"/>
      <c r="AG19" s="162"/>
    </row>
    <row r="20" spans="1:33" ht="33.75" customHeight="1">
      <c r="A20" s="1117" t="s">
        <v>696</v>
      </c>
      <c r="B20" s="1139"/>
      <c r="C20" s="1139"/>
      <c r="D20" s="1139"/>
      <c r="E20" s="1139"/>
      <c r="F20" s="1139"/>
      <c r="G20" s="1139"/>
      <c r="H20" s="1139"/>
      <c r="I20" s="1139"/>
      <c r="J20" s="1139"/>
      <c r="K20" s="1140"/>
      <c r="L20" s="162"/>
      <c r="M20" s="162"/>
      <c r="N20" s="162"/>
      <c r="O20" s="162"/>
      <c r="P20" s="162"/>
      <c r="Q20" s="162"/>
      <c r="R20" s="162"/>
      <c r="S20" s="162"/>
      <c r="T20" s="162"/>
      <c r="U20" s="162"/>
      <c r="V20" s="162"/>
      <c r="W20" s="162"/>
      <c r="X20" s="162"/>
      <c r="Y20" s="162"/>
      <c r="Z20" s="162"/>
      <c r="AA20" s="162"/>
      <c r="AB20" s="162"/>
      <c r="AC20" s="162"/>
      <c r="AD20" s="162"/>
      <c r="AE20" s="162"/>
      <c r="AF20" s="162"/>
      <c r="AG20" s="162"/>
    </row>
    <row r="21" spans="1:33" ht="17.25" customHeight="1">
      <c r="A21" s="1117" t="s">
        <v>697</v>
      </c>
      <c r="B21" s="1118"/>
      <c r="C21" s="1118"/>
      <c r="D21" s="1118"/>
      <c r="E21" s="1118"/>
      <c r="F21" s="1118"/>
      <c r="G21" s="1118"/>
      <c r="H21" s="1118"/>
      <c r="I21" s="1118"/>
      <c r="J21" s="1118"/>
      <c r="K21" s="1119"/>
      <c r="L21" s="162"/>
      <c r="M21" s="162"/>
      <c r="N21" s="162"/>
      <c r="O21" s="162"/>
      <c r="P21" s="162"/>
      <c r="Q21" s="162"/>
      <c r="R21" s="162"/>
      <c r="S21" s="162"/>
      <c r="T21" s="162"/>
      <c r="U21" s="162"/>
      <c r="V21" s="162"/>
      <c r="W21" s="162"/>
      <c r="X21" s="162"/>
      <c r="Y21" s="162"/>
      <c r="Z21" s="162"/>
      <c r="AA21" s="162"/>
      <c r="AB21" s="162"/>
      <c r="AC21" s="162"/>
      <c r="AD21" s="162"/>
      <c r="AE21" s="162"/>
      <c r="AF21" s="162"/>
      <c r="AG21" s="162"/>
    </row>
    <row r="22" spans="1:33" ht="13.5" thickBot="1">
      <c r="A22" s="263"/>
      <c r="B22" s="201"/>
      <c r="C22" s="183"/>
      <c r="D22" s="183"/>
      <c r="E22" s="183"/>
      <c r="F22" s="183"/>
      <c r="G22" s="183"/>
      <c r="H22" s="183"/>
      <c r="I22" s="183"/>
      <c r="J22" s="183"/>
      <c r="K22" s="264"/>
      <c r="L22" s="162"/>
      <c r="M22" s="162"/>
      <c r="N22" s="162"/>
      <c r="O22" s="162"/>
      <c r="P22" s="162"/>
      <c r="Q22" s="162"/>
      <c r="R22" s="162"/>
      <c r="S22" s="162"/>
      <c r="T22" s="162"/>
      <c r="U22" s="162"/>
      <c r="V22" s="162"/>
      <c r="W22" s="162"/>
      <c r="X22" s="162"/>
      <c r="Y22" s="162"/>
      <c r="Z22" s="162"/>
      <c r="AA22" s="162"/>
      <c r="AB22" s="162"/>
      <c r="AC22" s="162"/>
      <c r="AD22" s="162"/>
      <c r="AE22" s="162"/>
      <c r="AF22" s="162"/>
      <c r="AG22" s="162"/>
    </row>
    <row r="23" spans="1:33" ht="13.5" thickBot="1">
      <c r="A23" s="330"/>
      <c r="B23" s="162"/>
      <c r="C23" s="162"/>
      <c r="D23" s="269" t="s">
        <v>327</v>
      </c>
      <c r="E23" s="1142" t="s">
        <v>276</v>
      </c>
      <c r="F23" s="1143"/>
      <c r="G23" s="1143"/>
      <c r="H23" s="1143"/>
      <c r="I23" s="1144"/>
      <c r="J23" s="162"/>
      <c r="K23" s="264"/>
      <c r="L23" s="162"/>
      <c r="M23" s="162"/>
      <c r="N23" s="162"/>
      <c r="O23" s="162"/>
      <c r="P23" s="162"/>
      <c r="Q23" s="162"/>
      <c r="R23" s="162"/>
      <c r="S23" s="162"/>
      <c r="T23" s="162"/>
      <c r="U23" s="162"/>
      <c r="V23" s="162"/>
      <c r="W23" s="162"/>
      <c r="X23" s="162"/>
      <c r="Y23" s="162"/>
      <c r="Z23" s="162"/>
      <c r="AA23" s="162"/>
      <c r="AB23" s="162"/>
      <c r="AC23" s="162"/>
      <c r="AD23" s="162"/>
      <c r="AE23" s="162"/>
      <c r="AF23" s="162"/>
      <c r="AG23" s="162"/>
    </row>
    <row r="24" spans="1:33">
      <c r="A24" s="330"/>
      <c r="B24" s="162"/>
      <c r="C24" s="162"/>
      <c r="D24" s="262"/>
      <c r="E24" s="255"/>
      <c r="F24" s="255"/>
      <c r="G24" s="255"/>
      <c r="H24" s="255"/>
      <c r="I24" s="256"/>
      <c r="J24" s="162"/>
      <c r="K24" s="264"/>
      <c r="L24" s="162"/>
      <c r="M24" s="162"/>
      <c r="N24" s="162"/>
      <c r="O24" s="162"/>
      <c r="P24" s="162"/>
      <c r="Q24" s="162"/>
      <c r="R24" s="162"/>
      <c r="S24" s="162"/>
      <c r="T24" s="162"/>
      <c r="U24" s="162"/>
      <c r="V24" s="162"/>
      <c r="W24" s="162"/>
      <c r="X24" s="162"/>
      <c r="Y24" s="162"/>
      <c r="Z24" s="162"/>
      <c r="AA24" s="162"/>
      <c r="AB24" s="162"/>
      <c r="AC24" s="162"/>
      <c r="AD24" s="162"/>
      <c r="AE24" s="162"/>
      <c r="AF24" s="162"/>
      <c r="AG24" s="162"/>
    </row>
    <row r="25" spans="1:33" ht="14.25">
      <c r="A25" s="330"/>
      <c r="B25" s="162"/>
      <c r="C25" s="162"/>
      <c r="D25" s="260"/>
      <c r="E25" s="1141" t="s">
        <v>1283</v>
      </c>
      <c r="F25" s="1141"/>
      <c r="G25" s="162"/>
      <c r="H25" s="162"/>
      <c r="I25" s="257"/>
      <c r="J25" s="162"/>
      <c r="K25" s="264"/>
      <c r="L25" s="162"/>
      <c r="M25" s="162"/>
      <c r="N25" s="162"/>
      <c r="O25" s="162"/>
      <c r="P25" s="162"/>
      <c r="Q25" s="162"/>
      <c r="R25" s="162"/>
      <c r="S25" s="162"/>
      <c r="T25" s="162"/>
      <c r="U25" s="162"/>
      <c r="V25" s="162"/>
      <c r="W25" s="162"/>
      <c r="X25" s="162"/>
      <c r="Y25" s="162"/>
      <c r="Z25" s="162"/>
      <c r="AA25" s="162"/>
      <c r="AB25" s="162"/>
      <c r="AC25" s="162"/>
      <c r="AD25" s="162"/>
      <c r="AE25" s="162"/>
      <c r="AF25" s="162"/>
      <c r="AG25" s="162"/>
    </row>
    <row r="26" spans="1:33" ht="13.5" thickBot="1">
      <c r="A26" s="330"/>
      <c r="B26" s="162"/>
      <c r="C26" s="162"/>
      <c r="D26" s="260"/>
      <c r="E26" s="258"/>
      <c r="F26" s="258"/>
      <c r="G26" s="258"/>
      <c r="H26" s="258"/>
      <c r="I26" s="259"/>
      <c r="J26" s="162"/>
      <c r="K26" s="264"/>
      <c r="L26" s="162"/>
      <c r="M26" s="162"/>
      <c r="N26" s="162"/>
      <c r="O26" s="162"/>
      <c r="P26" s="162"/>
      <c r="Q26" s="162"/>
      <c r="R26" s="162"/>
      <c r="S26" s="162"/>
      <c r="T26" s="162"/>
      <c r="U26" s="162"/>
      <c r="V26" s="162"/>
      <c r="W26" s="162"/>
      <c r="X26" s="162"/>
      <c r="Y26" s="162"/>
      <c r="Z26" s="162"/>
      <c r="AA26" s="162"/>
      <c r="AB26" s="162"/>
      <c r="AC26" s="162"/>
      <c r="AD26" s="162"/>
      <c r="AE26" s="162"/>
      <c r="AF26" s="162"/>
      <c r="AG26" s="162"/>
    </row>
    <row r="27" spans="1:33">
      <c r="A27" s="330"/>
      <c r="B27" s="162"/>
      <c r="C27" s="162"/>
      <c r="D27" s="260"/>
      <c r="E27" s="707"/>
      <c r="F27" s="162"/>
      <c r="G27" s="162"/>
      <c r="H27" s="162"/>
      <c r="I27" s="162"/>
      <c r="J27" s="162"/>
      <c r="K27" s="264"/>
      <c r="L27" s="162"/>
      <c r="M27" s="162"/>
      <c r="N27" s="162"/>
      <c r="O27" s="162"/>
      <c r="P27" s="162"/>
      <c r="Q27" s="162"/>
      <c r="R27" s="162"/>
      <c r="S27" s="162"/>
      <c r="T27" s="162"/>
      <c r="U27" s="162"/>
      <c r="V27" s="162"/>
      <c r="W27" s="162"/>
      <c r="X27" s="162"/>
      <c r="Y27" s="162"/>
      <c r="Z27" s="162"/>
      <c r="AA27" s="162"/>
      <c r="AB27" s="162"/>
      <c r="AC27" s="162"/>
      <c r="AD27" s="162"/>
      <c r="AE27" s="162"/>
      <c r="AF27" s="162"/>
      <c r="AG27" s="162"/>
    </row>
    <row r="28" spans="1:33">
      <c r="A28" s="330"/>
      <c r="B28" s="162"/>
      <c r="C28" s="162"/>
      <c r="D28" s="260"/>
      <c r="E28" s="162"/>
      <c r="F28" s="162"/>
      <c r="G28" s="162"/>
      <c r="H28" s="162"/>
      <c r="I28" s="162"/>
      <c r="J28" s="162"/>
      <c r="K28" s="264"/>
      <c r="L28" s="162"/>
      <c r="M28" s="162"/>
      <c r="N28" s="162"/>
      <c r="O28" s="162"/>
      <c r="P28" s="162"/>
      <c r="Q28" s="162"/>
      <c r="R28" s="162"/>
      <c r="S28" s="162"/>
      <c r="T28" s="162"/>
      <c r="U28" s="162"/>
      <c r="V28" s="162"/>
      <c r="W28" s="162"/>
      <c r="X28" s="162"/>
      <c r="Y28" s="162"/>
      <c r="Z28" s="162"/>
      <c r="AA28" s="162"/>
      <c r="AB28" s="162"/>
      <c r="AC28" s="162"/>
      <c r="AD28" s="162"/>
      <c r="AE28" s="162"/>
      <c r="AF28" s="162"/>
      <c r="AG28" s="162"/>
    </row>
    <row r="29" spans="1:33">
      <c r="A29" s="330"/>
      <c r="B29" s="162"/>
      <c r="C29" s="162"/>
      <c r="D29" s="260"/>
      <c r="E29" s="162"/>
      <c r="F29" s="162"/>
      <c r="G29" s="162"/>
      <c r="H29" s="162"/>
      <c r="I29" s="162"/>
      <c r="J29" s="162"/>
      <c r="K29" s="264"/>
      <c r="L29" s="162"/>
      <c r="M29" s="162"/>
      <c r="N29" s="162"/>
      <c r="O29" s="162"/>
      <c r="P29" s="162"/>
      <c r="Q29" s="162"/>
      <c r="R29" s="162"/>
      <c r="S29" s="162"/>
      <c r="T29" s="162"/>
      <c r="U29" s="162"/>
      <c r="V29" s="162"/>
      <c r="W29" s="162"/>
      <c r="X29" s="162"/>
      <c r="Y29" s="162"/>
      <c r="Z29" s="162"/>
      <c r="AA29" s="162"/>
      <c r="AB29" s="162"/>
      <c r="AC29" s="162"/>
      <c r="AD29" s="162"/>
      <c r="AE29" s="162"/>
      <c r="AF29" s="162"/>
      <c r="AG29" s="162"/>
    </row>
    <row r="30" spans="1:33">
      <c r="A30" s="330"/>
      <c r="B30" s="162"/>
      <c r="C30" s="162"/>
      <c r="D30" s="260"/>
      <c r="E30" s="162"/>
      <c r="F30" s="162"/>
      <c r="G30" s="162"/>
      <c r="H30" s="162"/>
      <c r="I30" s="162"/>
      <c r="J30" s="162"/>
      <c r="K30" s="264"/>
      <c r="L30" s="162"/>
      <c r="M30" s="162"/>
      <c r="N30" s="162"/>
      <c r="O30" s="162"/>
      <c r="P30" s="162"/>
      <c r="Q30" s="162"/>
      <c r="R30" s="162"/>
      <c r="S30" s="162"/>
      <c r="T30" s="162"/>
      <c r="U30" s="162"/>
      <c r="V30" s="162"/>
      <c r="W30" s="162"/>
      <c r="X30" s="162"/>
      <c r="Y30" s="162"/>
      <c r="Z30" s="162"/>
      <c r="AA30" s="162"/>
      <c r="AB30" s="162"/>
      <c r="AC30" s="162"/>
      <c r="AD30" s="162"/>
      <c r="AE30" s="162"/>
      <c r="AF30" s="162"/>
      <c r="AG30" s="162"/>
    </row>
    <row r="31" spans="1:33">
      <c r="A31" s="330"/>
      <c r="B31" s="162"/>
      <c r="C31" s="162"/>
      <c r="D31" s="260"/>
      <c r="E31" s="162"/>
      <c r="F31" s="162"/>
      <c r="G31" s="162"/>
      <c r="H31" s="162"/>
      <c r="I31" s="162"/>
      <c r="J31" s="162"/>
      <c r="K31" s="264"/>
      <c r="L31" s="162"/>
      <c r="M31" s="162"/>
      <c r="N31" s="162"/>
      <c r="O31" s="162"/>
      <c r="P31" s="162"/>
      <c r="Q31" s="162"/>
      <c r="R31" s="162"/>
      <c r="S31" s="162"/>
      <c r="T31" s="162"/>
      <c r="U31" s="162"/>
      <c r="V31" s="162"/>
      <c r="W31" s="162"/>
      <c r="X31" s="162"/>
      <c r="Y31" s="162"/>
      <c r="Z31" s="162"/>
      <c r="AA31" s="162"/>
      <c r="AB31" s="162"/>
      <c r="AC31" s="162"/>
      <c r="AD31" s="162"/>
      <c r="AE31" s="162"/>
      <c r="AF31" s="162"/>
      <c r="AG31" s="162"/>
    </row>
    <row r="32" spans="1:33" ht="13.5" thickBot="1">
      <c r="A32" s="330"/>
      <c r="B32" s="162"/>
      <c r="C32" s="162"/>
      <c r="D32" s="261"/>
      <c r="E32" s="162"/>
      <c r="F32" s="162"/>
      <c r="G32" s="162"/>
      <c r="H32" s="162"/>
      <c r="I32" s="162"/>
      <c r="J32" s="162"/>
      <c r="K32" s="264"/>
      <c r="L32" s="162"/>
      <c r="M32" s="162"/>
      <c r="N32" s="162"/>
      <c r="O32" s="162"/>
      <c r="P32" s="162"/>
      <c r="Q32" s="162"/>
      <c r="R32" s="162"/>
      <c r="S32" s="162"/>
      <c r="T32" s="162"/>
      <c r="U32" s="162"/>
      <c r="V32" s="162"/>
      <c r="W32" s="162"/>
      <c r="X32" s="162"/>
      <c r="Y32" s="162"/>
      <c r="Z32" s="162"/>
      <c r="AA32" s="162"/>
      <c r="AB32" s="162"/>
      <c r="AC32" s="162"/>
      <c r="AD32" s="162"/>
      <c r="AE32" s="162"/>
      <c r="AF32" s="162"/>
      <c r="AG32" s="162"/>
    </row>
    <row r="33" spans="1:33">
      <c r="A33" s="334"/>
      <c r="B33" s="265"/>
      <c r="C33" s="265"/>
      <c r="D33" s="265"/>
      <c r="E33" s="265"/>
      <c r="F33" s="265"/>
      <c r="G33" s="265"/>
      <c r="H33" s="265"/>
      <c r="I33" s="265"/>
      <c r="J33" s="265"/>
      <c r="K33" s="266"/>
      <c r="L33" s="162"/>
      <c r="M33" s="162"/>
      <c r="N33" s="162"/>
      <c r="O33" s="162"/>
      <c r="P33" s="162"/>
      <c r="Q33" s="162"/>
      <c r="R33" s="162"/>
      <c r="S33" s="162"/>
      <c r="T33" s="162"/>
      <c r="U33" s="162"/>
      <c r="V33" s="162"/>
      <c r="W33" s="162"/>
      <c r="X33" s="162"/>
      <c r="Y33" s="162"/>
      <c r="Z33" s="162"/>
      <c r="AA33" s="162"/>
      <c r="AB33" s="162"/>
      <c r="AC33" s="162"/>
      <c r="AD33" s="162"/>
      <c r="AE33" s="162"/>
      <c r="AF33" s="162"/>
      <c r="AG33" s="162"/>
    </row>
    <row r="34" spans="1:33" ht="6" customHeight="1">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row>
    <row r="35" spans="1:33" ht="15">
      <c r="A35" s="537" t="s">
        <v>698</v>
      </c>
      <c r="B35" s="538"/>
      <c r="C35" s="538"/>
      <c r="D35" s="538"/>
      <c r="E35" s="538"/>
      <c r="F35" s="538"/>
      <c r="G35" s="538"/>
      <c r="H35" s="538"/>
      <c r="I35" s="539"/>
      <c r="J35" s="538"/>
      <c r="K35" s="536"/>
      <c r="L35" s="162"/>
      <c r="M35" s="162"/>
      <c r="N35" s="162"/>
      <c r="O35" s="162"/>
      <c r="P35" s="162"/>
      <c r="Q35" s="162"/>
      <c r="R35" s="162"/>
      <c r="S35" s="162"/>
      <c r="T35" s="162"/>
      <c r="U35" s="162"/>
      <c r="V35" s="162"/>
      <c r="W35" s="162"/>
      <c r="X35" s="162"/>
      <c r="Y35" s="162"/>
      <c r="Z35" s="162"/>
      <c r="AA35" s="162"/>
      <c r="AB35" s="162"/>
      <c r="AC35" s="162"/>
      <c r="AD35" s="162"/>
      <c r="AE35" s="162"/>
      <c r="AF35" s="162"/>
      <c r="AG35" s="162"/>
    </row>
    <row r="36" spans="1:33" ht="54.75" customHeight="1">
      <c r="A36" s="1120" t="s">
        <v>945</v>
      </c>
      <c r="B36" s="1121"/>
      <c r="C36" s="1121"/>
      <c r="D36" s="1121"/>
      <c r="E36" s="1121"/>
      <c r="F36" s="1121"/>
      <c r="G36" s="1121"/>
      <c r="H36" s="1121"/>
      <c r="I36" s="1121"/>
      <c r="J36" s="1121"/>
      <c r="K36" s="1122"/>
      <c r="L36" s="162"/>
      <c r="M36" s="162"/>
      <c r="N36" s="162"/>
      <c r="O36" s="162"/>
      <c r="P36" s="162"/>
      <c r="Q36" s="162"/>
      <c r="R36" s="162"/>
      <c r="S36" s="162"/>
      <c r="T36" s="162"/>
      <c r="U36" s="162"/>
      <c r="V36" s="162"/>
      <c r="W36" s="162"/>
      <c r="X36" s="162"/>
      <c r="Y36" s="162"/>
      <c r="Z36" s="162"/>
      <c r="AA36" s="162"/>
      <c r="AB36" s="162"/>
      <c r="AC36" s="162"/>
      <c r="AD36" s="162"/>
      <c r="AE36" s="162"/>
      <c r="AF36" s="162"/>
      <c r="AG36" s="162"/>
    </row>
    <row r="37" spans="1:33" ht="41.25" customHeight="1">
      <c r="A37" s="1136" t="s">
        <v>950</v>
      </c>
      <c r="B37" s="1137"/>
      <c r="C37" s="1137"/>
      <c r="D37" s="1137"/>
      <c r="E37" s="1137"/>
      <c r="F37" s="1137"/>
      <c r="G37" s="1137"/>
      <c r="H37" s="1137"/>
      <c r="I37" s="1137"/>
      <c r="J37" s="1137"/>
      <c r="K37" s="1138"/>
      <c r="L37" s="162"/>
      <c r="M37" s="162"/>
      <c r="N37" s="161"/>
      <c r="O37" s="162"/>
      <c r="P37" s="162"/>
      <c r="Q37" s="162"/>
      <c r="R37" s="162"/>
      <c r="S37" s="162"/>
      <c r="T37" s="162"/>
      <c r="U37" s="162"/>
      <c r="V37" s="162"/>
      <c r="W37" s="162"/>
      <c r="X37" s="162"/>
      <c r="Y37" s="162"/>
      <c r="Z37" s="162"/>
      <c r="AA37" s="162"/>
      <c r="AB37" s="162"/>
      <c r="AC37" s="162"/>
      <c r="AD37" s="162"/>
      <c r="AE37" s="162"/>
      <c r="AF37" s="162"/>
      <c r="AG37" s="162"/>
    </row>
    <row r="38" spans="1:33" s="3" customFormat="1">
      <c r="A38" s="535"/>
      <c r="B38" s="1128" t="s">
        <v>949</v>
      </c>
      <c r="C38" s="1128"/>
      <c r="D38" s="1128"/>
      <c r="E38" s="1128"/>
      <c r="F38" s="1128"/>
      <c r="G38" s="1128"/>
      <c r="H38" s="1128"/>
      <c r="I38" s="1128"/>
      <c r="J38" s="1128"/>
      <c r="K38" s="1129"/>
      <c r="L38" s="162"/>
      <c r="M38" s="162"/>
      <c r="N38" s="161"/>
      <c r="O38" s="183"/>
      <c r="P38" s="183"/>
      <c r="Q38" s="183"/>
      <c r="R38" s="183"/>
      <c r="S38" s="183"/>
      <c r="T38" s="183"/>
      <c r="U38" s="183"/>
      <c r="V38" s="183"/>
      <c r="W38" s="183"/>
      <c r="X38" s="183"/>
      <c r="Y38" s="183"/>
      <c r="Z38" s="183"/>
      <c r="AA38" s="183"/>
      <c r="AB38" s="183"/>
      <c r="AC38" s="183"/>
      <c r="AD38" s="183"/>
      <c r="AE38" s="183"/>
      <c r="AF38" s="183"/>
      <c r="AG38" s="183"/>
    </row>
    <row r="39" spans="1:33" ht="20.25" customHeight="1">
      <c r="A39" s="1125" t="s">
        <v>951</v>
      </c>
      <c r="B39" s="1126"/>
      <c r="C39" s="1126"/>
      <c r="D39" s="1126"/>
      <c r="E39" s="1126"/>
      <c r="F39" s="1126"/>
      <c r="G39" s="1126"/>
      <c r="H39" s="1126"/>
      <c r="I39" s="1126"/>
      <c r="J39" s="1126"/>
      <c r="K39" s="1127"/>
      <c r="L39" s="162"/>
      <c r="M39" s="162"/>
      <c r="N39" s="161"/>
      <c r="O39" s="162"/>
      <c r="P39" s="162"/>
      <c r="Q39" s="162"/>
      <c r="R39" s="162"/>
      <c r="S39" s="162"/>
      <c r="T39" s="162"/>
      <c r="U39" s="162"/>
      <c r="V39" s="162"/>
      <c r="W39" s="162"/>
      <c r="X39" s="162"/>
      <c r="Y39" s="162"/>
      <c r="Z39" s="162"/>
      <c r="AA39" s="162"/>
      <c r="AB39" s="162"/>
      <c r="AC39" s="162"/>
      <c r="AD39" s="162"/>
      <c r="AE39" s="162"/>
      <c r="AF39" s="162"/>
      <c r="AG39" s="162"/>
    </row>
    <row r="40" spans="1:33">
      <c r="A40" s="162"/>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row>
    <row r="41" spans="1:33">
      <c r="A41" s="1135"/>
      <c r="B41" s="1135"/>
      <c r="C41" s="1135"/>
      <c r="D41" s="1135"/>
      <c r="E41" s="1135"/>
      <c r="F41" s="1135"/>
      <c r="G41" s="1135"/>
      <c r="H41" s="1135"/>
      <c r="I41" s="1135"/>
      <c r="J41" s="1135"/>
      <c r="K41" s="1135"/>
      <c r="L41" s="162"/>
      <c r="M41" s="162"/>
      <c r="N41" s="162"/>
      <c r="O41" s="162"/>
      <c r="P41" s="162"/>
      <c r="Q41" s="162"/>
      <c r="R41" s="162"/>
      <c r="S41" s="162"/>
      <c r="T41" s="162"/>
      <c r="U41" s="162"/>
      <c r="V41" s="162"/>
      <c r="W41" s="162"/>
      <c r="X41" s="162"/>
      <c r="Y41" s="162"/>
      <c r="Z41" s="162"/>
      <c r="AA41" s="162"/>
      <c r="AB41" s="162"/>
      <c r="AC41" s="162"/>
      <c r="AD41" s="162"/>
      <c r="AE41" s="162"/>
      <c r="AF41" s="162"/>
      <c r="AG41" s="162"/>
    </row>
    <row r="42" spans="1:33">
      <c r="A42" s="1135"/>
      <c r="B42" s="1135"/>
      <c r="C42" s="1135"/>
      <c r="D42" s="1135"/>
      <c r="E42" s="1135"/>
      <c r="F42" s="1135"/>
      <c r="G42" s="1135"/>
      <c r="H42" s="1135"/>
      <c r="I42" s="1135"/>
      <c r="J42" s="1135"/>
      <c r="K42" s="1135"/>
      <c r="L42" s="162"/>
      <c r="M42" s="162"/>
      <c r="N42" s="162"/>
      <c r="O42" s="162"/>
      <c r="P42" s="162"/>
      <c r="Q42" s="162"/>
      <c r="R42" s="162"/>
      <c r="S42" s="162"/>
      <c r="T42" s="162"/>
      <c r="U42" s="162"/>
      <c r="V42" s="162"/>
      <c r="W42" s="162"/>
      <c r="X42" s="162"/>
      <c r="Y42" s="162"/>
      <c r="Z42" s="162"/>
      <c r="AA42" s="162"/>
      <c r="AB42" s="162"/>
      <c r="AC42" s="162"/>
      <c r="AD42" s="162"/>
      <c r="AE42" s="162"/>
      <c r="AF42" s="162"/>
      <c r="AG42" s="162"/>
    </row>
    <row r="43" spans="1:33">
      <c r="A43" s="16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row>
    <row r="44" spans="1:33">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row>
    <row r="45" spans="1:33">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row>
    <row r="46" spans="1:33">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row>
    <row r="47" spans="1:33">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row>
    <row r="48" spans="1:33">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row>
    <row r="49" spans="1:33">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row>
    <row r="50" spans="1:33">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row>
    <row r="51" spans="1:33">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row>
    <row r="52" spans="1:33">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row>
    <row r="53" spans="1:33">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row>
    <row r="54" spans="1:33">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row>
    <row r="55" spans="1:33">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row>
    <row r="56" spans="1:33">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row>
    <row r="57" spans="1:33">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row>
    <row r="58" spans="1:33">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row>
    <row r="59" spans="1:33">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row>
    <row r="60" spans="1:33">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row>
    <row r="61" spans="1:33">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row>
    <row r="62" spans="1:33">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row>
    <row r="63" spans="1:33">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row>
    <row r="64" spans="1:33">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row>
    <row r="65" spans="1:33">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row>
    <row r="66" spans="1:33">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row>
    <row r="67" spans="1:33">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row>
    <row r="68" spans="1:33">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row>
    <row r="69" spans="1:33">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row>
    <row r="70" spans="1:33">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row>
    <row r="71" spans="1:33">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row>
    <row r="72" spans="1:33">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row>
    <row r="73" spans="1:33">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row>
    <row r="74" spans="1:33">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row>
    <row r="75" spans="1:33">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row>
    <row r="76" spans="1:33">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row>
    <row r="77" spans="1:33">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row>
    <row r="78" spans="1:33">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row>
    <row r="79" spans="1:33">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row>
    <row r="80" spans="1:33">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row>
    <row r="81" spans="1:33">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row>
    <row r="82" spans="1:33">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row>
    <row r="83" spans="1:33">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row>
    <row r="84" spans="1:33">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row>
    <row r="85" spans="1:33">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row>
    <row r="86" spans="1:33">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row>
    <row r="87" spans="1:33">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row>
    <row r="88" spans="1:33">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row>
    <row r="89" spans="1:33">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row>
    <row r="90" spans="1:33">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row>
    <row r="91" spans="1:33">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row>
    <row r="92" spans="1:33">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row>
    <row r="93" spans="1:33">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row>
    <row r="94" spans="1:33">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row>
    <row r="95" spans="1:33">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row>
    <row r="96" spans="1:33">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row>
    <row r="97" spans="1:33">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row>
    <row r="98" spans="1:33">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row>
    <row r="99" spans="1:33">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row>
    <row r="100" spans="1:33">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row>
    <row r="101" spans="1:33">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row>
    <row r="102" spans="1:33">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row>
    <row r="103" spans="1:33">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row>
    <row r="104" spans="1:33">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row>
    <row r="105" spans="1:33">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row>
    <row r="106" spans="1:33">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row>
    <row r="107" spans="1:33">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row>
    <row r="108" spans="1:33">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row>
    <row r="109" spans="1:33">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row>
    <row r="110" spans="1:33">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row>
    <row r="111" spans="1:33">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row>
    <row r="112" spans="1:33">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row>
    <row r="113" spans="1:33">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row>
    <row r="114" spans="1:33">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row>
    <row r="115" spans="1:33">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row>
    <row r="116" spans="1:33">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row>
    <row r="117" spans="1:33">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row>
    <row r="118" spans="1:33">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row>
    <row r="119" spans="1:33">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row>
    <row r="120" spans="1:33">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row>
    <row r="121" spans="1:33">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row>
    <row r="122" spans="1:33">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row>
    <row r="123" spans="1:33">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row>
    <row r="124" spans="1:33">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row>
    <row r="125" spans="1:33">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row>
    <row r="126" spans="1:33">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row>
    <row r="127" spans="1:33">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row>
    <row r="128" spans="1:33">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row>
    <row r="129" spans="1:33">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row>
    <row r="130" spans="1:33">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row>
    <row r="131" spans="1:33">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row>
    <row r="132" spans="1:33">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row>
    <row r="133" spans="1:33">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row>
    <row r="134" spans="1:33">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row>
    <row r="135" spans="1:33">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row>
    <row r="136" spans="1:33">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row>
    <row r="137" spans="1:33">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row>
    <row r="138" spans="1:33">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row>
    <row r="139" spans="1:33">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row>
    <row r="140" spans="1:33">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row>
    <row r="141" spans="1:33">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row>
    <row r="142" spans="1:33">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row>
    <row r="143" spans="1:33">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row>
    <row r="144" spans="1:33">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row>
    <row r="145" spans="1:33">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row>
    <row r="146" spans="1:33">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row>
    <row r="147" spans="1:33">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row>
    <row r="148" spans="1:33">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row>
    <row r="149" spans="1:33">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row>
    <row r="150" spans="1:33">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row>
    <row r="151" spans="1:33">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row>
    <row r="152" spans="1:33">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row>
    <row r="153" spans="1:33">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row>
    <row r="154" spans="1:33">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row>
    <row r="155" spans="1:33">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row>
    <row r="156" spans="1:33">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row>
    <row r="157" spans="1:33">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row>
    <row r="158" spans="1:33">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row>
    <row r="159" spans="1:33">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row>
    <row r="160" spans="1:33">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row>
    <row r="161" spans="1:33">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row>
    <row r="162" spans="1:33">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row>
    <row r="163" spans="1:33">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row>
    <row r="164" spans="1:33">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row>
    <row r="165" spans="1:33">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row>
    <row r="166" spans="1:33">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row>
    <row r="167" spans="1:33">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row>
    <row r="168" spans="1:33">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row>
    <row r="169" spans="1:33">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row>
    <row r="170" spans="1:33">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row>
    <row r="171" spans="1:33">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row>
    <row r="172" spans="1:33">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row>
    <row r="173" spans="1:33">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row>
    <row r="174" spans="1:33">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row>
    <row r="175" spans="1:33">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row>
    <row r="176" spans="1:33">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row>
    <row r="177" spans="1:33">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row>
    <row r="178" spans="1:33">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row>
    <row r="179" spans="1:33">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row>
    <row r="180" spans="1:33">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row>
    <row r="181" spans="1:33">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row>
    <row r="182" spans="1:33">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row>
    <row r="183" spans="1:33">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row>
    <row r="184" spans="1:33">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row>
    <row r="185" spans="1:33">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row>
    <row r="186" spans="1:33">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row>
    <row r="187" spans="1:33">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row>
    <row r="188" spans="1:33">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row>
    <row r="189" spans="1:33">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row>
    <row r="190" spans="1:33">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row>
    <row r="191" spans="1:33">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row>
    <row r="192" spans="1:33">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row>
    <row r="193" spans="1:33">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row>
    <row r="194" spans="1:33">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row>
    <row r="195" spans="1:33">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row>
    <row r="196" spans="1:33">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row>
    <row r="197" spans="1:33">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row>
    <row r="198" spans="1:33">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row>
    <row r="199" spans="1:33">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row>
    <row r="200" spans="1:33">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row>
    <row r="201" spans="1:33">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row>
    <row r="202" spans="1:33">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row>
    <row r="203" spans="1:33">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row>
    <row r="204" spans="1:33">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row>
    <row r="205" spans="1:33">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row>
    <row r="206" spans="1:33">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row>
    <row r="207" spans="1:33">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row>
    <row r="208" spans="1:33">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row>
    <row r="209" spans="1:33">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row>
    <row r="210" spans="1:33">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row>
    <row r="211" spans="1:33">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row>
    <row r="212" spans="1:33">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row>
    <row r="213" spans="1:33">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row>
    <row r="214" spans="1:33">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row>
    <row r="215" spans="1:33">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row>
    <row r="216" spans="1:33">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row>
    <row r="217" spans="1:33">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row>
    <row r="218" spans="1:33">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row>
    <row r="219" spans="1:33">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row>
    <row r="220" spans="1:33">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row>
    <row r="221" spans="1:33">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row>
    <row r="222" spans="1:33">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row>
    <row r="223" spans="1:33">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row>
    <row r="224" spans="1:33">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row>
    <row r="225" spans="1:33">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row>
    <row r="226" spans="1:33">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row>
    <row r="227" spans="1:33">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row>
    <row r="228" spans="1:33">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row>
    <row r="229" spans="1:33">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row>
    <row r="230" spans="1:33">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row>
    <row r="231" spans="1:33">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row>
    <row r="232" spans="1:33">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row>
    <row r="233" spans="1:33">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row>
    <row r="234" spans="1:33">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row>
    <row r="235" spans="1:33">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row>
    <row r="236" spans="1:33">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row>
    <row r="237" spans="1:33">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row>
    <row r="238" spans="1:33">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row>
    <row r="239" spans="1:33">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row>
    <row r="240" spans="1:33">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row>
    <row r="241" spans="1:33">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row>
    <row r="242" spans="1:33">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row>
    <row r="243" spans="1:33">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row>
    <row r="244" spans="1:33">
      <c r="A244" s="162"/>
      <c r="B244" s="16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row>
    <row r="245" spans="1:33">
      <c r="A245" s="162"/>
      <c r="B245" s="16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row>
    <row r="246" spans="1:33">
      <c r="A246" s="162"/>
      <c r="B246" s="16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row>
    <row r="247" spans="1:33">
      <c r="A247" s="162"/>
      <c r="B247" s="16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row>
    <row r="248" spans="1:33">
      <c r="A248" s="162"/>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row>
    <row r="249" spans="1:33">
      <c r="A249" s="162"/>
      <c r="B249" s="16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row>
    <row r="250" spans="1:33">
      <c r="A250" s="162"/>
      <c r="B250" s="16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row>
    <row r="251" spans="1:33">
      <c r="A251" s="162"/>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row>
    <row r="252" spans="1:33">
      <c r="A252" s="162"/>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row>
    <row r="253" spans="1:33">
      <c r="A253" s="162"/>
      <c r="B253" s="16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row>
    <row r="254" spans="1:33">
      <c r="A254" s="162"/>
      <c r="B254" s="16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row>
    <row r="255" spans="1:33">
      <c r="A255" s="162"/>
      <c r="B255" s="16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row>
    <row r="256" spans="1:33">
      <c r="A256" s="162"/>
      <c r="B256" s="16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row>
    <row r="257" spans="1:33">
      <c r="A257" s="162"/>
      <c r="B257" s="16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row>
    <row r="258" spans="1:33">
      <c r="A258" s="162"/>
      <c r="B258" s="16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row>
    <row r="259" spans="1:33">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row>
    <row r="260" spans="1:33">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row>
    <row r="261" spans="1:33">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row>
    <row r="262" spans="1:33">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row>
    <row r="263" spans="1:33">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row>
    <row r="264" spans="1:33">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row>
    <row r="265" spans="1:33">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row>
    <row r="266" spans="1:33">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row>
    <row r="267" spans="1:33">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row>
    <row r="268" spans="1:33">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row>
    <row r="269" spans="1:33">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row>
    <row r="270" spans="1:33">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row>
    <row r="271" spans="1:33">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row>
    <row r="272" spans="1:33">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row>
    <row r="273" spans="1:33">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row>
    <row r="274" spans="1:33">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row>
    <row r="275" spans="1:33">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row>
    <row r="276" spans="1:33">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row>
    <row r="277" spans="1:33">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row>
    <row r="278" spans="1:33">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row>
    <row r="279" spans="1:33">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row>
    <row r="280" spans="1:33">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row>
    <row r="281" spans="1:33">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row>
    <row r="282" spans="1:33">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row>
    <row r="283" spans="1:33">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row>
    <row r="284" spans="1:33">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row>
    <row r="285" spans="1:33">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row>
  </sheetData>
  <sheetProtection sheet="1" objects="1" scenarios="1"/>
  <mergeCells count="19">
    <mergeCell ref="A39:K39"/>
    <mergeCell ref="B38:K38"/>
    <mergeCell ref="A9:K9"/>
    <mergeCell ref="D7:K7"/>
    <mergeCell ref="A41:K42"/>
    <mergeCell ref="A37:K37"/>
    <mergeCell ref="A20:K20"/>
    <mergeCell ref="E25:F25"/>
    <mergeCell ref="E23:I23"/>
    <mergeCell ref="B12:K12"/>
    <mergeCell ref="B15:K15"/>
    <mergeCell ref="A18:K18"/>
    <mergeCell ref="A19:K19"/>
    <mergeCell ref="A4:K4"/>
    <mergeCell ref="B10:K10"/>
    <mergeCell ref="C11:K11"/>
    <mergeCell ref="A21:K21"/>
    <mergeCell ref="A36:K36"/>
    <mergeCell ref="A6:K6"/>
  </mergeCells>
  <dataValidations count="2">
    <dataValidation type="list" allowBlank="1" showInputMessage="1" showErrorMessage="1" sqref="E25" xr:uid="{00000000-0002-0000-0000-000000000000}">
      <formula1>Tab_navigation</formula1>
    </dataValidation>
    <dataValidation type="list" allowBlank="1" showInputMessage="1" showErrorMessage="1" sqref="D14" xr:uid="{00000000-0002-0000-0000-000001000000}">
      <formula1>Help_Navigation</formula1>
    </dataValidation>
  </dataValidations>
  <hyperlinks>
    <hyperlink ref="B38" r:id="rId1" xr:uid="{00000000-0004-0000-0000-000000000000}"/>
    <hyperlink ref="B38:K38" r:id="rId2" display="https://www.epa.gov/ghgreporting" xr:uid="{00000000-0004-0000-0000-000001000000}"/>
    <hyperlink ref="C11:K11" location="'Boundary Questions'!A1" display="Go to Boundary Questions" xr:uid="{00000000-0004-0000-0000-000002000000}"/>
    <hyperlink ref="D7" r:id="rId3" xr:uid="{62246C2F-A1F4-48A3-B4EC-ACA25876D750}"/>
  </hyperlinks>
  <pageMargins left="0.7" right="0.7" top="0.75" bottom="0.75" header="0.3" footer="0.3"/>
  <pageSetup scale="71" orientation="portrait" r:id="rId4"/>
  <colBreaks count="1" manualBreakCount="1">
    <brk id="11" max="1048575" man="1"/>
  </colBreaks>
  <drawing r:id="rId5"/>
  <legacyDrawing r:id="rId6"/>
  <mc:AlternateContent xmlns:mc="http://schemas.openxmlformats.org/markup-compatibility/2006">
    <mc:Choice Requires="x14">
      <controls>
        <mc:AlternateContent xmlns:mc="http://schemas.openxmlformats.org/markup-compatibility/2006">
          <mc:Choice Requires="x14">
            <control shapeId="26773" r:id="rId7" name="Button 149">
              <controlPr defaultSize="0" print="0" autoFill="0" autoPict="0" macro="[0]!goto_inputsheets">
                <anchor moveWithCells="1">
                  <from>
                    <xdr:col>6</xdr:col>
                    <xdr:colOff>257175</xdr:colOff>
                    <xdr:row>23</xdr:row>
                    <xdr:rowOff>114300</xdr:rowOff>
                  </from>
                  <to>
                    <xdr:col>8</xdr:col>
                    <xdr:colOff>428625</xdr:colOff>
                    <xdr:row>25</xdr:row>
                    <xdr:rowOff>38100</xdr:rowOff>
                  </to>
                </anchor>
              </controlPr>
            </control>
          </mc:Choice>
        </mc:AlternateContent>
        <mc:AlternateContent xmlns:mc="http://schemas.openxmlformats.org/markup-compatibility/2006">
          <mc:Choice Requires="x14">
            <control shapeId="26794" r:id="rId8" name="Button 170">
              <controlPr defaultSize="0" print="0" autoFill="0" autoPict="0" macro="[0]!goto_helpsheets">
                <anchor moveWithCells="1">
                  <from>
                    <xdr:col>4</xdr:col>
                    <xdr:colOff>190500</xdr:colOff>
                    <xdr:row>12</xdr:row>
                    <xdr:rowOff>66675</xdr:rowOff>
                  </from>
                  <to>
                    <xdr:col>6</xdr:col>
                    <xdr:colOff>114300</xdr:colOff>
                    <xdr:row>14</xdr:row>
                    <xdr:rowOff>28575</xdr:rowOff>
                  </to>
                </anchor>
              </controlPr>
            </control>
          </mc:Choice>
        </mc:AlternateContent>
        <mc:AlternateContent xmlns:mc="http://schemas.openxmlformats.org/markup-compatibility/2006">
          <mc:Choice Requires="x14">
            <control shapeId="27317" r:id="rId9" name="Button 693">
              <controlPr defaultSize="0" print="0" autoFill="0" autoPict="0" macro="[0]!goto_helpsheets">
                <anchor moveWithCells="1">
                  <from>
                    <xdr:col>4</xdr:col>
                    <xdr:colOff>190500</xdr:colOff>
                    <xdr:row>12</xdr:row>
                    <xdr:rowOff>66675</xdr:rowOff>
                  </from>
                  <to>
                    <xdr:col>6</xdr:col>
                    <xdr:colOff>114300</xdr:colOff>
                    <xdr:row>14</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E171"/>
  <sheetViews>
    <sheetView topLeftCell="A15" zoomScale="125" zoomScaleNormal="80" workbookViewId="0"/>
  </sheetViews>
  <sheetFormatPr defaultColWidth="8.85546875" defaultRowHeight="12.75"/>
  <cols>
    <col min="1" max="1" width="10" customWidth="1"/>
    <col min="2" max="2" width="19.85546875" customWidth="1"/>
    <col min="3" max="3" width="16.85546875" customWidth="1"/>
    <col min="4" max="4" width="21.85546875" customWidth="1"/>
    <col min="5" max="5" width="12.85546875" customWidth="1"/>
    <col min="6" max="6" width="13.140625" customWidth="1"/>
    <col min="7" max="12" width="12.140625" customWidth="1"/>
    <col min="13" max="15" width="16" customWidth="1"/>
    <col min="16" max="17" width="11.42578125" customWidth="1"/>
    <col min="18" max="18" width="14.140625" customWidth="1"/>
  </cols>
  <sheetData>
    <row r="1" spans="1:30"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row>
    <row r="2" spans="1:30"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row>
    <row r="3" spans="1:30" ht="15">
      <c r="A3" s="5" t="s">
        <v>803</v>
      </c>
      <c r="B3" s="4"/>
      <c r="C3" s="4"/>
      <c r="D3" s="4"/>
      <c r="E3" s="4"/>
      <c r="F3" s="4"/>
      <c r="G3" s="4"/>
      <c r="H3" s="4"/>
      <c r="I3" s="162"/>
      <c r="J3" s="162"/>
      <c r="K3" s="162"/>
      <c r="L3" s="162"/>
      <c r="M3" s="162"/>
      <c r="N3" s="162"/>
      <c r="O3" s="162"/>
      <c r="P3" s="162"/>
      <c r="Q3" s="162"/>
      <c r="R3" s="162"/>
      <c r="S3" s="162"/>
      <c r="T3" s="162"/>
      <c r="U3" s="162"/>
      <c r="V3" s="162"/>
      <c r="W3" s="162"/>
      <c r="X3" s="162"/>
      <c r="Y3" s="162"/>
      <c r="Z3" s="162"/>
      <c r="AA3" s="162"/>
      <c r="AB3" s="162"/>
      <c r="AC3" s="162"/>
      <c r="AD3" s="162"/>
    </row>
    <row r="4" spans="1:30">
      <c r="A4" s="162"/>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row>
    <row r="5" spans="1:30">
      <c r="A5" s="161" t="s">
        <v>293</v>
      </c>
      <c r="B5" s="162"/>
      <c r="C5" s="162"/>
      <c r="D5" s="162"/>
      <c r="E5" s="162"/>
      <c r="F5" s="162"/>
      <c r="G5" s="162"/>
      <c r="H5" s="162"/>
      <c r="I5" s="162"/>
      <c r="J5" s="162"/>
      <c r="K5" s="162"/>
      <c r="L5" s="162"/>
      <c r="M5" s="163"/>
      <c r="N5" s="163"/>
      <c r="O5" s="162"/>
      <c r="P5" s="162"/>
      <c r="Q5" s="162"/>
      <c r="R5" s="162"/>
      <c r="S5" s="162"/>
      <c r="T5" s="162"/>
      <c r="U5" s="162"/>
      <c r="V5" s="162"/>
      <c r="W5" s="162"/>
      <c r="X5" s="162"/>
      <c r="Y5" s="162"/>
      <c r="Z5" s="162"/>
      <c r="AA5" s="162"/>
      <c r="AB5" s="162"/>
      <c r="AC5" s="162"/>
      <c r="AD5" s="162"/>
    </row>
    <row r="6" spans="1:30">
      <c r="A6" s="419" t="s">
        <v>838</v>
      </c>
      <c r="B6" s="162"/>
      <c r="C6" s="162"/>
      <c r="D6" s="162"/>
      <c r="E6" s="162"/>
      <c r="F6" s="162"/>
      <c r="G6" s="162"/>
      <c r="H6" s="162"/>
      <c r="I6" s="162"/>
      <c r="J6" s="162"/>
      <c r="K6" s="162"/>
      <c r="L6" s="162"/>
      <c r="M6" s="163"/>
      <c r="N6" s="163"/>
      <c r="O6" s="162"/>
      <c r="P6" s="162"/>
      <c r="Q6" s="162"/>
      <c r="R6" s="162"/>
      <c r="S6" s="162"/>
      <c r="T6" s="162"/>
      <c r="U6" s="162"/>
      <c r="V6" s="162"/>
      <c r="W6" s="162"/>
      <c r="X6" s="162"/>
      <c r="Y6" s="162"/>
      <c r="Z6" s="162"/>
      <c r="AA6" s="162"/>
      <c r="AB6" s="162"/>
      <c r="AC6" s="162"/>
      <c r="AD6" s="162"/>
    </row>
    <row r="7" spans="1:30">
      <c r="A7" s="410" t="s">
        <v>977</v>
      </c>
      <c r="B7" s="183"/>
      <c r="C7" s="162"/>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row>
    <row r="8" spans="1:30">
      <c r="A8" s="410" t="s">
        <v>975</v>
      </c>
      <c r="B8" s="183"/>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row>
    <row r="9" spans="1:30">
      <c r="A9" s="411" t="s">
        <v>307</v>
      </c>
      <c r="B9" s="183"/>
      <c r="C9" s="162"/>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row>
    <row r="10" spans="1:30">
      <c r="A10" s="411" t="s">
        <v>976</v>
      </c>
      <c r="B10" s="183"/>
      <c r="C10" s="162"/>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row>
    <row r="11" spans="1:30" ht="25.5" customHeight="1">
      <c r="A11" s="1189" t="s">
        <v>978</v>
      </c>
      <c r="B11" s="1189"/>
      <c r="C11" s="1189"/>
      <c r="D11" s="1189"/>
      <c r="E11" s="1189"/>
      <c r="F11" s="1189"/>
      <c r="G11" s="1189"/>
      <c r="H11" s="1189"/>
      <c r="I11" s="162"/>
      <c r="J11" s="162"/>
      <c r="K11" s="162"/>
      <c r="L11" s="162"/>
      <c r="M11" s="162"/>
      <c r="N11" s="162"/>
      <c r="O11" s="162"/>
      <c r="P11" s="162"/>
      <c r="Q11" s="162"/>
      <c r="R11" s="162"/>
      <c r="S11" s="162"/>
      <c r="T11" s="162"/>
      <c r="U11" s="162"/>
      <c r="V11" s="162"/>
      <c r="W11" s="162"/>
      <c r="X11" s="162"/>
      <c r="Y11" s="162"/>
      <c r="Z11" s="162"/>
      <c r="AA11" s="162"/>
      <c r="AB11" s="162"/>
      <c r="AC11" s="162"/>
    </row>
    <row r="12" spans="1:30">
      <c r="A12" s="233" t="s">
        <v>672</v>
      </c>
      <c r="B12" s="162"/>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row>
    <row r="13" spans="1:30" ht="15.75">
      <c r="A13" s="714" t="s">
        <v>1248</v>
      </c>
      <c r="B13" s="183"/>
      <c r="C13" s="162"/>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row>
    <row r="14" spans="1:30">
      <c r="A14" s="411" t="s">
        <v>654</v>
      </c>
      <c r="B14" s="183"/>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row>
    <row r="15" spans="1:30">
      <c r="A15" s="411" t="s">
        <v>655</v>
      </c>
      <c r="B15" s="183"/>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row>
    <row r="16" spans="1:30" ht="39" customHeight="1">
      <c r="A16" s="162"/>
      <c r="B16" s="1222" t="s">
        <v>1247</v>
      </c>
      <c r="C16" s="1189"/>
      <c r="D16" s="1189"/>
      <c r="E16" s="1189"/>
      <c r="F16" s="1189"/>
      <c r="G16" s="1189"/>
      <c r="H16" s="1189"/>
      <c r="I16" s="1189"/>
      <c r="J16" s="768"/>
      <c r="K16" s="768"/>
      <c r="L16" s="768"/>
      <c r="M16" s="162"/>
      <c r="N16" s="162"/>
      <c r="O16" s="162"/>
      <c r="P16" s="162"/>
      <c r="Q16" s="162"/>
      <c r="R16" s="162"/>
      <c r="S16" s="162"/>
      <c r="T16" s="162"/>
      <c r="U16" s="162"/>
      <c r="V16" s="162"/>
      <c r="W16" s="162"/>
      <c r="X16" s="162"/>
      <c r="Y16" s="162"/>
      <c r="Z16" s="162"/>
      <c r="AA16" s="162"/>
      <c r="AB16" s="162"/>
      <c r="AC16" s="162"/>
    </row>
    <row r="17" spans="1:31">
      <c r="A17" s="233" t="s">
        <v>673</v>
      </c>
      <c r="B17" s="183"/>
      <c r="C17" s="162"/>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row>
    <row r="18" spans="1:31">
      <c r="A18" s="183" t="s">
        <v>980</v>
      </c>
      <c r="B18" s="183"/>
      <c r="C18" s="162"/>
      <c r="D18" s="162"/>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row>
    <row r="19" spans="1:31" ht="13.5" thickBot="1">
      <c r="A19" s="557"/>
      <c r="B19" s="557"/>
      <c r="C19" s="557"/>
      <c r="D19" s="557"/>
      <c r="E19" s="557"/>
      <c r="F19" s="557"/>
      <c r="G19" s="557"/>
      <c r="H19" s="557"/>
      <c r="I19" s="162"/>
      <c r="J19" s="162"/>
      <c r="K19" s="162"/>
      <c r="L19" s="162"/>
      <c r="M19" s="162"/>
      <c r="N19" s="183"/>
      <c r="O19" s="162"/>
      <c r="P19" s="162"/>
      <c r="Q19" s="162"/>
      <c r="R19" s="162"/>
      <c r="S19" s="162"/>
      <c r="T19" s="162"/>
      <c r="U19" s="162"/>
      <c r="V19" s="162"/>
      <c r="W19" s="162"/>
      <c r="X19" s="162"/>
      <c r="Y19" s="162"/>
      <c r="Z19" s="162"/>
      <c r="AA19" s="162"/>
      <c r="AB19" s="162"/>
      <c r="AC19" s="162"/>
      <c r="AD19" s="162"/>
    </row>
    <row r="20" spans="1:31" ht="37.5" customHeight="1">
      <c r="A20" s="234"/>
      <c r="B20" s="162"/>
      <c r="C20" s="162"/>
      <c r="D20" s="162"/>
      <c r="E20" s="162"/>
      <c r="F20" s="162"/>
      <c r="G20" s="1260" t="s">
        <v>1245</v>
      </c>
      <c r="H20" s="1261"/>
      <c r="I20" s="1261"/>
      <c r="J20" s="1261"/>
      <c r="K20" s="1261"/>
      <c r="L20" s="1261"/>
      <c r="M20" s="1247" t="s">
        <v>1246</v>
      </c>
      <c r="N20" s="1252"/>
      <c r="O20" s="1252"/>
      <c r="P20" s="1252"/>
      <c r="Q20" s="1252"/>
      <c r="R20" s="1253"/>
      <c r="S20" s="162"/>
      <c r="T20" s="162"/>
      <c r="U20" s="162"/>
      <c r="V20" s="162"/>
      <c r="W20" s="162"/>
      <c r="X20" s="162"/>
      <c r="Y20" s="162"/>
      <c r="Z20" s="162"/>
      <c r="AA20" s="162"/>
      <c r="AB20" s="162"/>
      <c r="AC20" s="162"/>
      <c r="AD20" s="162"/>
    </row>
    <row r="21" spans="1:31" ht="13.5" thickBot="1">
      <c r="A21" s="7" t="s">
        <v>75</v>
      </c>
      <c r="B21" s="10"/>
      <c r="C21" s="4"/>
      <c r="D21" s="4"/>
      <c r="E21" s="4"/>
      <c r="F21" s="4"/>
      <c r="G21" s="1256" t="s">
        <v>805</v>
      </c>
      <c r="H21" s="1257"/>
      <c r="I21" s="1258"/>
      <c r="J21" s="1259" t="s">
        <v>173</v>
      </c>
      <c r="K21" s="1257"/>
      <c r="L21" s="1257"/>
      <c r="M21" s="1254" t="s">
        <v>805</v>
      </c>
      <c r="N21" s="1250"/>
      <c r="O21" s="1255"/>
      <c r="P21" s="1249" t="s">
        <v>173</v>
      </c>
      <c r="Q21" s="1250"/>
      <c r="R21" s="1251"/>
      <c r="S21" s="162"/>
      <c r="T21" s="162"/>
      <c r="U21" s="162"/>
      <c r="V21" s="162"/>
      <c r="W21" s="162"/>
      <c r="X21" s="162"/>
      <c r="Y21" s="162"/>
      <c r="Z21" s="162"/>
      <c r="AA21" s="162"/>
      <c r="AB21" s="162"/>
      <c r="AC21" s="162"/>
      <c r="AD21" s="162"/>
    </row>
    <row r="22" spans="1:31" ht="14.25">
      <c r="A22" s="1268" t="s">
        <v>664</v>
      </c>
      <c r="B22" s="1234" t="s">
        <v>665</v>
      </c>
      <c r="C22" s="1234" t="s">
        <v>680</v>
      </c>
      <c r="D22" s="1216" t="s">
        <v>161</v>
      </c>
      <c r="E22" s="13" t="s">
        <v>74</v>
      </c>
      <c r="F22" s="125" t="s">
        <v>71</v>
      </c>
      <c r="G22" s="12" t="s">
        <v>170</v>
      </c>
      <c r="H22" s="13" t="s">
        <v>171</v>
      </c>
      <c r="I22" s="125" t="s">
        <v>172</v>
      </c>
      <c r="J22" s="13" t="s">
        <v>97</v>
      </c>
      <c r="K22" s="13" t="s">
        <v>171</v>
      </c>
      <c r="L22" s="125" t="s">
        <v>96</v>
      </c>
      <c r="M22" s="12" t="s">
        <v>170</v>
      </c>
      <c r="N22" s="13" t="s">
        <v>171</v>
      </c>
      <c r="O22" s="125" t="s">
        <v>172</v>
      </c>
      <c r="P22" s="13" t="s">
        <v>97</v>
      </c>
      <c r="Q22" s="13" t="s">
        <v>171</v>
      </c>
      <c r="R22" s="14" t="s">
        <v>96</v>
      </c>
      <c r="S22" s="162"/>
      <c r="T22" s="162"/>
      <c r="U22" s="162"/>
      <c r="V22" s="162"/>
      <c r="W22" s="162"/>
      <c r="X22" s="162"/>
      <c r="Y22" s="162"/>
      <c r="Z22" s="162"/>
      <c r="AA22" s="162"/>
      <c r="AB22" s="162"/>
      <c r="AC22" s="162"/>
      <c r="AD22" s="162"/>
      <c r="AE22" s="162"/>
    </row>
    <row r="23" spans="1:31">
      <c r="A23" s="1231"/>
      <c r="B23" s="1233"/>
      <c r="C23" s="1233"/>
      <c r="D23" s="1233"/>
      <c r="E23" s="19" t="s">
        <v>681</v>
      </c>
      <c r="F23" s="112" t="s">
        <v>70</v>
      </c>
      <c r="G23" s="30" t="s">
        <v>72</v>
      </c>
      <c r="H23" s="19" t="s">
        <v>72</v>
      </c>
      <c r="I23" s="112" t="s">
        <v>72</v>
      </c>
      <c r="J23" s="19" t="s">
        <v>173</v>
      </c>
      <c r="K23" s="19" t="s">
        <v>173</v>
      </c>
      <c r="L23" s="112" t="s">
        <v>173</v>
      </c>
      <c r="M23" s="30" t="s">
        <v>72</v>
      </c>
      <c r="N23" s="19" t="s">
        <v>72</v>
      </c>
      <c r="O23" s="112" t="s">
        <v>72</v>
      </c>
      <c r="P23" s="19" t="s">
        <v>173</v>
      </c>
      <c r="Q23" s="19" t="s">
        <v>173</v>
      </c>
      <c r="R23" s="20" t="s">
        <v>173</v>
      </c>
      <c r="S23" s="162"/>
      <c r="T23" s="162"/>
      <c r="U23" s="162"/>
      <c r="V23" s="162"/>
      <c r="W23" s="162"/>
      <c r="X23" s="162"/>
      <c r="Y23" s="162"/>
      <c r="Z23" s="162"/>
      <c r="AA23" s="162"/>
      <c r="AB23" s="162"/>
      <c r="AC23" s="162"/>
      <c r="AD23" s="162"/>
      <c r="AE23" s="162"/>
    </row>
    <row r="24" spans="1:31" ht="13.5" thickBot="1">
      <c r="A24" s="1232"/>
      <c r="B24" s="1217"/>
      <c r="C24" s="1217"/>
      <c r="D24" s="1217"/>
      <c r="E24" s="16" t="s">
        <v>180</v>
      </c>
      <c r="F24" s="97" t="s">
        <v>73</v>
      </c>
      <c r="G24" s="15" t="s">
        <v>835</v>
      </c>
      <c r="H24" s="16" t="s">
        <v>836</v>
      </c>
      <c r="I24" s="97" t="s">
        <v>836</v>
      </c>
      <c r="J24" s="16" t="s">
        <v>174</v>
      </c>
      <c r="K24" s="16" t="s">
        <v>175</v>
      </c>
      <c r="L24" s="97" t="s">
        <v>175</v>
      </c>
      <c r="M24" s="15" t="s">
        <v>835</v>
      </c>
      <c r="N24" s="16" t="s">
        <v>836</v>
      </c>
      <c r="O24" s="97" t="s">
        <v>836</v>
      </c>
      <c r="P24" s="16" t="s">
        <v>174</v>
      </c>
      <c r="Q24" s="16" t="s">
        <v>175</v>
      </c>
      <c r="R24" s="17" t="s">
        <v>175</v>
      </c>
      <c r="S24" s="162"/>
      <c r="T24" s="162"/>
      <c r="U24" s="162"/>
      <c r="V24" s="162"/>
      <c r="W24" s="162"/>
      <c r="X24" s="162"/>
      <c r="Y24" s="162"/>
      <c r="Z24" s="162"/>
      <c r="AA24" s="162"/>
      <c r="AB24" s="162"/>
      <c r="AC24" s="162"/>
      <c r="AD24" s="162"/>
      <c r="AE24" s="162"/>
    </row>
    <row r="25" spans="1:31">
      <c r="A25" s="459" t="s">
        <v>247</v>
      </c>
      <c r="B25" s="460" t="s">
        <v>248</v>
      </c>
      <c r="C25" s="462">
        <v>5000</v>
      </c>
      <c r="D25" s="460" t="s">
        <v>166</v>
      </c>
      <c r="E25" s="461">
        <v>80</v>
      </c>
      <c r="F25" s="793">
        <v>5000</v>
      </c>
      <c r="G25" s="795">
        <v>72</v>
      </c>
      <c r="H25" s="463">
        <v>1.5</v>
      </c>
      <c r="I25" s="779">
        <v>0.6</v>
      </c>
      <c r="J25" s="785">
        <f t="shared" ref="J25:J63" si="0">IF($F25="","",
IF(OR(G25="&lt;enter factor&gt;",G25=""),(VLOOKUP($D25,Stationary_Fuel_Fctrs_mmBtu,2,FALSE))*$F25/(IF($E25="",0.8,$E25/100)),
G25*$F25/(IF($E25="",0.8,$E25/100))))</f>
        <v>450000</v>
      </c>
      <c r="K25" s="785">
        <f t="shared" ref="K25:K63" si="1">IF($F25="","",
IF(OR(H25="&lt;enter factor&gt;",H25=""),(VLOOKUP($D25,Stationary_Fuel_Fctrs_mmBtu,3,FALSE))*$F25/(IF($E25="",0.8,$E25/100)),
H25*$F25/(IF($E25="",0.8,$E25/100))))</f>
        <v>9375</v>
      </c>
      <c r="L25" s="785">
        <f t="shared" ref="L25:L63" si="2">IF($F25="","",
IF(OR(I25="&lt;enter factor&gt;",I25=""),(VLOOKUP($D25,Stationary_Fuel_Fctrs_mmBtu,4,FALSE))*$F25/(IF($E25="",0.8,$E25/100)),
I25*$F25/(IF($E25="",0.8,$E25/100))))</f>
        <v>3750</v>
      </c>
      <c r="M25" s="804">
        <v>70</v>
      </c>
      <c r="N25" s="786">
        <v>1</v>
      </c>
      <c r="O25" s="787">
        <v>0.5</v>
      </c>
      <c r="P25" s="788">
        <f t="shared" ref="P25:R26" si="3">IF($F25="","",
IF(OR(M25="&lt;enter factor&gt;",M25=""),J25,
M25*$F25/(IF($E25="",0.8,$E25/100))))</f>
        <v>437500</v>
      </c>
      <c r="Q25" s="788">
        <f t="shared" si="3"/>
        <v>6250</v>
      </c>
      <c r="R25" s="796">
        <f t="shared" si="3"/>
        <v>3125</v>
      </c>
      <c r="S25" s="162"/>
      <c r="T25" s="162"/>
      <c r="U25" s="162"/>
      <c r="V25" s="162"/>
      <c r="W25" s="162"/>
      <c r="X25" s="162"/>
      <c r="Y25" s="162"/>
      <c r="Z25" s="162"/>
      <c r="AA25" s="162"/>
      <c r="AB25" s="162"/>
      <c r="AC25" s="162"/>
      <c r="AD25" s="162"/>
      <c r="AE25" s="162"/>
    </row>
    <row r="26" spans="1:31">
      <c r="A26" s="235" t="s">
        <v>16</v>
      </c>
      <c r="B26" s="236" t="s">
        <v>194</v>
      </c>
      <c r="C26" s="482">
        <v>2000</v>
      </c>
      <c r="D26" s="236" t="s">
        <v>164</v>
      </c>
      <c r="E26" s="237">
        <v>80</v>
      </c>
      <c r="F26" s="794">
        <v>1000</v>
      </c>
      <c r="G26" s="797" t="s">
        <v>807</v>
      </c>
      <c r="H26" s="621" t="s">
        <v>807</v>
      </c>
      <c r="I26" s="780" t="s">
        <v>807</v>
      </c>
      <c r="J26" s="821">
        <f t="shared" si="0"/>
        <v>121462.5</v>
      </c>
      <c r="K26" s="846">
        <f t="shared" si="1"/>
        <v>13750</v>
      </c>
      <c r="L26" s="826">
        <f t="shared" si="2"/>
        <v>2000</v>
      </c>
      <c r="M26" s="797" t="s">
        <v>807</v>
      </c>
      <c r="N26" s="621" t="s">
        <v>807</v>
      </c>
      <c r="O26" s="780" t="s">
        <v>807</v>
      </c>
      <c r="P26" s="847">
        <f t="shared" si="3"/>
        <v>121462.5</v>
      </c>
      <c r="Q26" s="847">
        <f t="shared" si="3"/>
        <v>13750</v>
      </c>
      <c r="R26" s="849">
        <f t="shared" si="3"/>
        <v>2000</v>
      </c>
      <c r="S26" s="162"/>
      <c r="T26" s="162"/>
      <c r="U26" s="162"/>
      <c r="V26" s="162"/>
      <c r="W26" s="162"/>
      <c r="X26" s="162"/>
      <c r="Y26" s="162"/>
      <c r="Z26" s="162"/>
      <c r="AA26" s="162"/>
      <c r="AB26" s="162"/>
      <c r="AC26" s="162"/>
      <c r="AD26" s="162"/>
      <c r="AE26" s="162"/>
    </row>
    <row r="27" spans="1:31">
      <c r="A27" s="177"/>
      <c r="B27" s="178"/>
      <c r="C27" s="179"/>
      <c r="D27" s="178"/>
      <c r="E27" s="395"/>
      <c r="F27" s="789"/>
      <c r="G27" s="776" t="s">
        <v>807</v>
      </c>
      <c r="H27" s="777" t="s">
        <v>807</v>
      </c>
      <c r="I27" s="782" t="s">
        <v>807</v>
      </c>
      <c r="J27" s="822" t="str">
        <f t="shared" si="0"/>
        <v/>
      </c>
      <c r="K27" s="845" t="str">
        <f t="shared" si="1"/>
        <v/>
      </c>
      <c r="L27" s="823" t="str">
        <f t="shared" si="2"/>
        <v/>
      </c>
      <c r="M27" s="619" t="s">
        <v>807</v>
      </c>
      <c r="N27" s="620" t="s">
        <v>807</v>
      </c>
      <c r="O27" s="620" t="s">
        <v>807</v>
      </c>
      <c r="P27" s="848" t="str">
        <f t="shared" ref="P27:R28" si="4">IF($F27="","",
IF(OR(M27="&lt;enter factor&gt;",M27=""),J27,
M27*$F27/(IF($E27="",0.8,$E27/100))))</f>
        <v/>
      </c>
      <c r="Q27" s="848" t="str">
        <f t="shared" si="4"/>
        <v/>
      </c>
      <c r="R27" s="850" t="str">
        <f t="shared" si="4"/>
        <v/>
      </c>
      <c r="S27" s="162"/>
      <c r="T27" s="162"/>
      <c r="U27" s="162"/>
      <c r="V27" s="162"/>
      <c r="W27" s="162"/>
      <c r="X27" s="162"/>
      <c r="Y27" s="162"/>
      <c r="Z27" s="162"/>
      <c r="AA27" s="162"/>
      <c r="AB27" s="162"/>
      <c r="AC27" s="162"/>
      <c r="AD27" s="162"/>
      <c r="AE27" s="162"/>
    </row>
    <row r="28" spans="1:31">
      <c r="A28" s="177"/>
      <c r="B28" s="178"/>
      <c r="C28" s="179"/>
      <c r="D28" s="178"/>
      <c r="E28" s="395"/>
      <c r="F28" s="789"/>
      <c r="G28" s="776" t="s">
        <v>807</v>
      </c>
      <c r="H28" s="777" t="s">
        <v>807</v>
      </c>
      <c r="I28" s="782" t="s">
        <v>807</v>
      </c>
      <c r="J28" s="822" t="str">
        <f t="shared" si="0"/>
        <v/>
      </c>
      <c r="K28" s="828" t="str">
        <f t="shared" si="1"/>
        <v/>
      </c>
      <c r="L28" s="823" t="str">
        <f t="shared" si="2"/>
        <v/>
      </c>
      <c r="M28" s="805" t="s">
        <v>807</v>
      </c>
      <c r="N28" s="579" t="s">
        <v>807</v>
      </c>
      <c r="O28" s="783" t="s">
        <v>807</v>
      </c>
      <c r="P28" s="799" t="str">
        <f t="shared" si="4"/>
        <v/>
      </c>
      <c r="Q28" s="799" t="str">
        <f t="shared" si="4"/>
        <v/>
      </c>
      <c r="R28" s="800" t="str">
        <f t="shared" si="4"/>
        <v/>
      </c>
      <c r="S28" s="162"/>
      <c r="T28" s="162"/>
      <c r="U28" s="162"/>
      <c r="V28" s="162"/>
      <c r="W28" s="162"/>
      <c r="X28" s="162"/>
      <c r="Y28" s="162"/>
      <c r="Z28" s="162"/>
      <c r="AA28" s="162"/>
      <c r="AB28" s="162"/>
      <c r="AC28" s="162"/>
      <c r="AD28" s="162"/>
      <c r="AE28" s="162"/>
    </row>
    <row r="29" spans="1:31">
      <c r="A29" s="65"/>
      <c r="B29" s="29"/>
      <c r="C29" s="73"/>
      <c r="D29" s="178"/>
      <c r="E29" s="395"/>
      <c r="F29" s="789"/>
      <c r="G29" s="776" t="s">
        <v>807</v>
      </c>
      <c r="H29" s="777" t="s">
        <v>807</v>
      </c>
      <c r="I29" s="782" t="s">
        <v>807</v>
      </c>
      <c r="J29" s="822" t="str">
        <f t="shared" si="0"/>
        <v/>
      </c>
      <c r="K29" s="828" t="str">
        <f t="shared" si="1"/>
        <v/>
      </c>
      <c r="L29" s="823" t="str">
        <f t="shared" si="2"/>
        <v/>
      </c>
      <c r="M29" s="805" t="s">
        <v>807</v>
      </c>
      <c r="N29" s="579" t="s">
        <v>807</v>
      </c>
      <c r="O29" s="783" t="s">
        <v>807</v>
      </c>
      <c r="P29" s="799" t="str">
        <f t="shared" ref="P29:P63" si="5">IF($F29="","",
IF(OR(M29="&lt;enter factor&gt;",M29=""),J29,
M29*$F29/(IF($E29="",0.8,$E29/100))))</f>
        <v/>
      </c>
      <c r="Q29" s="799" t="str">
        <f t="shared" ref="Q29:Q63" si="6">IF($F29="","",
IF(OR(N29="&lt;enter factor&gt;",N29=""),K29,
N29*$F29/(IF($E29="",0.8,$E29/100))))</f>
        <v/>
      </c>
      <c r="R29" s="800" t="str">
        <f t="shared" ref="R29:R63" si="7">IF($F29="","",
IF(OR(O29="&lt;enter factor&gt;",O29=""),L29,
O29*$F29/(IF($E29="",0.8,$E29/100))))</f>
        <v/>
      </c>
      <c r="S29" s="162"/>
      <c r="T29" s="162"/>
      <c r="U29" s="162"/>
      <c r="V29" s="162"/>
      <c r="W29" s="162"/>
      <c r="X29" s="162"/>
      <c r="Y29" s="162"/>
      <c r="Z29" s="162"/>
      <c r="AA29" s="162"/>
      <c r="AB29" s="162"/>
      <c r="AC29" s="162"/>
      <c r="AD29" s="162"/>
      <c r="AE29" s="162"/>
    </row>
    <row r="30" spans="1:31">
      <c r="A30" s="65"/>
      <c r="B30" s="29"/>
      <c r="C30" s="73"/>
      <c r="D30" s="178"/>
      <c r="E30" s="395"/>
      <c r="F30" s="789"/>
      <c r="G30" s="776" t="s">
        <v>807</v>
      </c>
      <c r="H30" s="777" t="s">
        <v>807</v>
      </c>
      <c r="I30" s="782" t="s">
        <v>807</v>
      </c>
      <c r="J30" s="822" t="str">
        <f t="shared" si="0"/>
        <v/>
      </c>
      <c r="K30" s="828" t="str">
        <f t="shared" si="1"/>
        <v/>
      </c>
      <c r="L30" s="823" t="str">
        <f t="shared" si="2"/>
        <v/>
      </c>
      <c r="M30" s="805" t="s">
        <v>807</v>
      </c>
      <c r="N30" s="579" t="s">
        <v>807</v>
      </c>
      <c r="O30" s="783" t="s">
        <v>807</v>
      </c>
      <c r="P30" s="799" t="str">
        <f t="shared" si="5"/>
        <v/>
      </c>
      <c r="Q30" s="799" t="str">
        <f t="shared" si="6"/>
        <v/>
      </c>
      <c r="R30" s="800" t="str">
        <f t="shared" si="7"/>
        <v/>
      </c>
      <c r="S30" s="162"/>
      <c r="T30" s="162"/>
      <c r="U30" s="162"/>
      <c r="V30" s="162"/>
      <c r="W30" s="162"/>
      <c r="X30" s="162"/>
      <c r="Y30" s="162"/>
      <c r="Z30" s="162"/>
      <c r="AA30" s="162"/>
      <c r="AB30" s="162"/>
      <c r="AC30" s="162"/>
      <c r="AD30" s="162"/>
      <c r="AE30" s="162"/>
    </row>
    <row r="31" spans="1:31">
      <c r="A31" s="65"/>
      <c r="B31" s="29"/>
      <c r="C31" s="73"/>
      <c r="D31" s="178"/>
      <c r="E31" s="395"/>
      <c r="F31" s="789"/>
      <c r="G31" s="776" t="s">
        <v>807</v>
      </c>
      <c r="H31" s="777" t="s">
        <v>807</v>
      </c>
      <c r="I31" s="782" t="s">
        <v>807</v>
      </c>
      <c r="J31" s="822" t="str">
        <f t="shared" si="0"/>
        <v/>
      </c>
      <c r="K31" s="828" t="str">
        <f t="shared" si="1"/>
        <v/>
      </c>
      <c r="L31" s="823" t="str">
        <f t="shared" si="2"/>
        <v/>
      </c>
      <c r="M31" s="805" t="s">
        <v>807</v>
      </c>
      <c r="N31" s="579" t="s">
        <v>807</v>
      </c>
      <c r="O31" s="783" t="s">
        <v>807</v>
      </c>
      <c r="P31" s="799" t="str">
        <f t="shared" si="5"/>
        <v/>
      </c>
      <c r="Q31" s="799" t="str">
        <f t="shared" si="6"/>
        <v/>
      </c>
      <c r="R31" s="800" t="str">
        <f t="shared" si="7"/>
        <v/>
      </c>
      <c r="S31" s="162"/>
      <c r="T31" s="162"/>
      <c r="U31" s="162"/>
      <c r="V31" s="162"/>
      <c r="W31" s="162"/>
      <c r="X31" s="162"/>
      <c r="Y31" s="162"/>
      <c r="Z31" s="162"/>
      <c r="AA31" s="162"/>
      <c r="AB31" s="162"/>
      <c r="AC31" s="162"/>
      <c r="AD31" s="162"/>
      <c r="AE31" s="162"/>
    </row>
    <row r="32" spans="1:31">
      <c r="A32" s="65"/>
      <c r="B32" s="29"/>
      <c r="C32" s="73"/>
      <c r="D32" s="178"/>
      <c r="E32" s="395"/>
      <c r="F32" s="789"/>
      <c r="G32" s="776" t="s">
        <v>807</v>
      </c>
      <c r="H32" s="777" t="s">
        <v>807</v>
      </c>
      <c r="I32" s="782" t="s">
        <v>807</v>
      </c>
      <c r="J32" s="822" t="str">
        <f t="shared" si="0"/>
        <v/>
      </c>
      <c r="K32" s="828" t="str">
        <f t="shared" si="1"/>
        <v/>
      </c>
      <c r="L32" s="823" t="str">
        <f t="shared" si="2"/>
        <v/>
      </c>
      <c r="M32" s="805" t="s">
        <v>807</v>
      </c>
      <c r="N32" s="579" t="s">
        <v>807</v>
      </c>
      <c r="O32" s="783" t="s">
        <v>807</v>
      </c>
      <c r="P32" s="799" t="str">
        <f t="shared" si="5"/>
        <v/>
      </c>
      <c r="Q32" s="799" t="str">
        <f t="shared" si="6"/>
        <v/>
      </c>
      <c r="R32" s="800" t="str">
        <f t="shared" si="7"/>
        <v/>
      </c>
      <c r="S32" s="162"/>
      <c r="T32" s="162"/>
      <c r="U32" s="162"/>
      <c r="V32" s="162"/>
      <c r="W32" s="162"/>
      <c r="X32" s="162"/>
      <c r="Y32" s="162"/>
      <c r="Z32" s="162"/>
      <c r="AA32" s="162"/>
      <c r="AB32" s="162"/>
      <c r="AC32" s="162"/>
      <c r="AD32" s="162"/>
      <c r="AE32" s="162"/>
    </row>
    <row r="33" spans="1:31">
      <c r="A33" s="65"/>
      <c r="B33" s="29"/>
      <c r="C33" s="73"/>
      <c r="D33" s="178"/>
      <c r="E33" s="395"/>
      <c r="F33" s="789"/>
      <c r="G33" s="776" t="s">
        <v>807</v>
      </c>
      <c r="H33" s="777" t="s">
        <v>807</v>
      </c>
      <c r="I33" s="782" t="s">
        <v>807</v>
      </c>
      <c r="J33" s="822" t="str">
        <f t="shared" si="0"/>
        <v/>
      </c>
      <c r="K33" s="828" t="str">
        <f t="shared" si="1"/>
        <v/>
      </c>
      <c r="L33" s="823" t="str">
        <f t="shared" si="2"/>
        <v/>
      </c>
      <c r="M33" s="805" t="s">
        <v>807</v>
      </c>
      <c r="N33" s="579" t="s">
        <v>807</v>
      </c>
      <c r="O33" s="783" t="s">
        <v>807</v>
      </c>
      <c r="P33" s="799" t="str">
        <f t="shared" si="5"/>
        <v/>
      </c>
      <c r="Q33" s="799" t="str">
        <f t="shared" si="6"/>
        <v/>
      </c>
      <c r="R33" s="800" t="str">
        <f t="shared" si="7"/>
        <v/>
      </c>
      <c r="S33" s="162"/>
      <c r="T33" s="162"/>
      <c r="U33" s="162"/>
      <c r="V33" s="162"/>
      <c r="W33" s="162"/>
      <c r="X33" s="162"/>
      <c r="Y33" s="162"/>
      <c r="Z33" s="162"/>
      <c r="AA33" s="162"/>
      <c r="AB33" s="162"/>
      <c r="AC33" s="162"/>
      <c r="AD33" s="162"/>
      <c r="AE33" s="162"/>
    </row>
    <row r="34" spans="1:31">
      <c r="A34" s="65"/>
      <c r="B34" s="29"/>
      <c r="C34" s="73"/>
      <c r="D34" s="178"/>
      <c r="E34" s="395"/>
      <c r="F34" s="789"/>
      <c r="G34" s="776" t="s">
        <v>807</v>
      </c>
      <c r="H34" s="777" t="s">
        <v>807</v>
      </c>
      <c r="I34" s="782" t="s">
        <v>807</v>
      </c>
      <c r="J34" s="822" t="str">
        <f t="shared" si="0"/>
        <v/>
      </c>
      <c r="K34" s="828" t="str">
        <f t="shared" si="1"/>
        <v/>
      </c>
      <c r="L34" s="823" t="str">
        <f t="shared" si="2"/>
        <v/>
      </c>
      <c r="M34" s="805" t="s">
        <v>807</v>
      </c>
      <c r="N34" s="579" t="s">
        <v>807</v>
      </c>
      <c r="O34" s="783" t="s">
        <v>807</v>
      </c>
      <c r="P34" s="799" t="str">
        <f t="shared" si="5"/>
        <v/>
      </c>
      <c r="Q34" s="799" t="str">
        <f t="shared" si="6"/>
        <v/>
      </c>
      <c r="R34" s="800" t="str">
        <f t="shared" si="7"/>
        <v/>
      </c>
      <c r="S34" s="162"/>
      <c r="T34" s="162"/>
      <c r="U34" s="162"/>
      <c r="V34" s="162"/>
      <c r="W34" s="162"/>
      <c r="X34" s="162"/>
      <c r="Y34" s="162"/>
      <c r="Z34" s="162"/>
      <c r="AA34" s="162"/>
      <c r="AB34" s="162"/>
      <c r="AC34" s="162"/>
      <c r="AD34" s="162"/>
      <c r="AE34" s="162"/>
    </row>
    <row r="35" spans="1:31">
      <c r="A35" s="65"/>
      <c r="B35" s="29"/>
      <c r="C35" s="73"/>
      <c r="D35" s="178"/>
      <c r="E35" s="395"/>
      <c r="F35" s="789"/>
      <c r="G35" s="776" t="s">
        <v>807</v>
      </c>
      <c r="H35" s="777" t="s">
        <v>807</v>
      </c>
      <c r="I35" s="782" t="s">
        <v>807</v>
      </c>
      <c r="J35" s="822" t="str">
        <f t="shared" si="0"/>
        <v/>
      </c>
      <c r="K35" s="828" t="str">
        <f t="shared" si="1"/>
        <v/>
      </c>
      <c r="L35" s="823" t="str">
        <f t="shared" si="2"/>
        <v/>
      </c>
      <c r="M35" s="805" t="s">
        <v>807</v>
      </c>
      <c r="N35" s="579" t="s">
        <v>807</v>
      </c>
      <c r="O35" s="783" t="s">
        <v>807</v>
      </c>
      <c r="P35" s="799" t="str">
        <f t="shared" si="5"/>
        <v/>
      </c>
      <c r="Q35" s="799" t="str">
        <f t="shared" si="6"/>
        <v/>
      </c>
      <c r="R35" s="800" t="str">
        <f t="shared" si="7"/>
        <v/>
      </c>
      <c r="S35" s="162"/>
      <c r="T35" s="162"/>
      <c r="U35" s="162"/>
      <c r="V35" s="162"/>
      <c r="W35" s="162"/>
      <c r="X35" s="162"/>
      <c r="Y35" s="162"/>
      <c r="Z35" s="162"/>
      <c r="AA35" s="162"/>
      <c r="AB35" s="162"/>
      <c r="AC35" s="162"/>
      <c r="AD35" s="162"/>
      <c r="AE35" s="162"/>
    </row>
    <row r="36" spans="1:31">
      <c r="A36" s="65"/>
      <c r="B36" s="29"/>
      <c r="C36" s="73"/>
      <c r="D36" s="178"/>
      <c r="E36" s="395"/>
      <c r="F36" s="789"/>
      <c r="G36" s="776" t="s">
        <v>807</v>
      </c>
      <c r="H36" s="777" t="s">
        <v>807</v>
      </c>
      <c r="I36" s="782" t="s">
        <v>807</v>
      </c>
      <c r="J36" s="822" t="str">
        <f t="shared" si="0"/>
        <v/>
      </c>
      <c r="K36" s="828" t="str">
        <f t="shared" si="1"/>
        <v/>
      </c>
      <c r="L36" s="823" t="str">
        <f t="shared" si="2"/>
        <v/>
      </c>
      <c r="M36" s="805" t="s">
        <v>807</v>
      </c>
      <c r="N36" s="579" t="s">
        <v>807</v>
      </c>
      <c r="O36" s="783" t="s">
        <v>807</v>
      </c>
      <c r="P36" s="799" t="str">
        <f t="shared" si="5"/>
        <v/>
      </c>
      <c r="Q36" s="799" t="str">
        <f t="shared" si="6"/>
        <v/>
      </c>
      <c r="R36" s="800" t="str">
        <f t="shared" si="7"/>
        <v/>
      </c>
      <c r="S36" s="162"/>
      <c r="T36" s="162"/>
      <c r="U36" s="162"/>
      <c r="V36" s="162"/>
      <c r="W36" s="162"/>
      <c r="X36" s="162"/>
      <c r="Y36" s="162"/>
      <c r="Z36" s="162"/>
      <c r="AA36" s="162"/>
      <c r="AB36" s="162"/>
      <c r="AC36" s="162"/>
      <c r="AD36" s="162"/>
      <c r="AE36" s="162"/>
    </row>
    <row r="37" spans="1:31">
      <c r="A37" s="65"/>
      <c r="B37" s="29"/>
      <c r="C37" s="73"/>
      <c r="D37" s="178"/>
      <c r="E37" s="395"/>
      <c r="F37" s="789"/>
      <c r="G37" s="776" t="s">
        <v>807</v>
      </c>
      <c r="H37" s="777" t="s">
        <v>807</v>
      </c>
      <c r="I37" s="782" t="s">
        <v>807</v>
      </c>
      <c r="J37" s="822" t="str">
        <f t="shared" si="0"/>
        <v/>
      </c>
      <c r="K37" s="828" t="str">
        <f t="shared" si="1"/>
        <v/>
      </c>
      <c r="L37" s="823" t="str">
        <f t="shared" si="2"/>
        <v/>
      </c>
      <c r="M37" s="805" t="s">
        <v>807</v>
      </c>
      <c r="N37" s="579" t="s">
        <v>807</v>
      </c>
      <c r="O37" s="783" t="s">
        <v>807</v>
      </c>
      <c r="P37" s="799" t="str">
        <f t="shared" si="5"/>
        <v/>
      </c>
      <c r="Q37" s="799" t="str">
        <f t="shared" si="6"/>
        <v/>
      </c>
      <c r="R37" s="800" t="str">
        <f t="shared" si="7"/>
        <v/>
      </c>
      <c r="S37" s="162"/>
      <c r="T37" s="162"/>
      <c r="U37" s="162"/>
      <c r="V37" s="162"/>
      <c r="W37" s="162"/>
      <c r="X37" s="162"/>
      <c r="Y37" s="162"/>
      <c r="Z37" s="162"/>
      <c r="AA37" s="162"/>
      <c r="AB37" s="162"/>
      <c r="AC37" s="162"/>
      <c r="AD37" s="162"/>
      <c r="AE37" s="162"/>
    </row>
    <row r="38" spans="1:31">
      <c r="A38" s="65"/>
      <c r="B38" s="29"/>
      <c r="C38" s="73"/>
      <c r="D38" s="178"/>
      <c r="E38" s="395"/>
      <c r="F38" s="789"/>
      <c r="G38" s="776" t="s">
        <v>807</v>
      </c>
      <c r="H38" s="777" t="s">
        <v>807</v>
      </c>
      <c r="I38" s="782" t="s">
        <v>807</v>
      </c>
      <c r="J38" s="822" t="str">
        <f t="shared" si="0"/>
        <v/>
      </c>
      <c r="K38" s="828" t="str">
        <f t="shared" si="1"/>
        <v/>
      </c>
      <c r="L38" s="823" t="str">
        <f t="shared" si="2"/>
        <v/>
      </c>
      <c r="M38" s="805" t="s">
        <v>807</v>
      </c>
      <c r="N38" s="579" t="s">
        <v>807</v>
      </c>
      <c r="O38" s="783" t="s">
        <v>807</v>
      </c>
      <c r="P38" s="799" t="str">
        <f t="shared" si="5"/>
        <v/>
      </c>
      <c r="Q38" s="799" t="str">
        <f t="shared" si="6"/>
        <v/>
      </c>
      <c r="R38" s="800" t="str">
        <f t="shared" si="7"/>
        <v/>
      </c>
      <c r="S38" s="162"/>
      <c r="T38" s="162"/>
      <c r="U38" s="162"/>
      <c r="V38" s="162"/>
      <c r="W38" s="162"/>
      <c r="X38" s="162"/>
      <c r="Y38" s="162"/>
      <c r="Z38" s="162"/>
      <c r="AA38" s="162"/>
      <c r="AB38" s="162"/>
      <c r="AC38" s="162"/>
      <c r="AD38" s="162"/>
      <c r="AE38" s="162"/>
    </row>
    <row r="39" spans="1:31">
      <c r="A39" s="65"/>
      <c r="B39" s="29"/>
      <c r="C39" s="73"/>
      <c r="D39" s="178"/>
      <c r="E39" s="395"/>
      <c r="F39" s="789"/>
      <c r="G39" s="776" t="s">
        <v>807</v>
      </c>
      <c r="H39" s="777" t="s">
        <v>807</v>
      </c>
      <c r="I39" s="782" t="s">
        <v>807</v>
      </c>
      <c r="J39" s="822" t="str">
        <f t="shared" si="0"/>
        <v/>
      </c>
      <c r="K39" s="828" t="str">
        <f t="shared" si="1"/>
        <v/>
      </c>
      <c r="L39" s="823" t="str">
        <f t="shared" si="2"/>
        <v/>
      </c>
      <c r="M39" s="805" t="s">
        <v>807</v>
      </c>
      <c r="N39" s="579" t="s">
        <v>807</v>
      </c>
      <c r="O39" s="783" t="s">
        <v>807</v>
      </c>
      <c r="P39" s="799" t="str">
        <f t="shared" si="5"/>
        <v/>
      </c>
      <c r="Q39" s="799" t="str">
        <f t="shared" si="6"/>
        <v/>
      </c>
      <c r="R39" s="800" t="str">
        <f t="shared" si="7"/>
        <v/>
      </c>
      <c r="S39" s="162"/>
      <c r="T39" s="162"/>
      <c r="U39" s="162"/>
      <c r="V39" s="162"/>
      <c r="W39" s="162"/>
      <c r="X39" s="162"/>
      <c r="Y39" s="162"/>
      <c r="Z39" s="162"/>
      <c r="AA39" s="162"/>
      <c r="AB39" s="162"/>
      <c r="AC39" s="162"/>
      <c r="AD39" s="162"/>
      <c r="AE39" s="162"/>
    </row>
    <row r="40" spans="1:31">
      <c r="A40" s="65"/>
      <c r="B40" s="29"/>
      <c r="C40" s="73"/>
      <c r="D40" s="29"/>
      <c r="E40" s="395"/>
      <c r="F40" s="789"/>
      <c r="G40" s="776" t="s">
        <v>807</v>
      </c>
      <c r="H40" s="777" t="s">
        <v>807</v>
      </c>
      <c r="I40" s="782" t="s">
        <v>807</v>
      </c>
      <c r="J40" s="822" t="str">
        <f t="shared" si="0"/>
        <v/>
      </c>
      <c r="K40" s="828" t="str">
        <f t="shared" si="1"/>
        <v/>
      </c>
      <c r="L40" s="827" t="str">
        <f t="shared" si="2"/>
        <v/>
      </c>
      <c r="M40" s="805" t="s">
        <v>807</v>
      </c>
      <c r="N40" s="579" t="s">
        <v>807</v>
      </c>
      <c r="O40" s="783" t="s">
        <v>807</v>
      </c>
      <c r="P40" s="799" t="str">
        <f t="shared" si="5"/>
        <v/>
      </c>
      <c r="Q40" s="799" t="str">
        <f t="shared" si="6"/>
        <v/>
      </c>
      <c r="R40" s="800" t="str">
        <f t="shared" si="7"/>
        <v/>
      </c>
      <c r="S40" s="162"/>
      <c r="T40" s="162"/>
      <c r="U40" s="162"/>
      <c r="V40" s="162"/>
      <c r="W40" s="162"/>
      <c r="X40" s="162"/>
      <c r="Y40" s="162"/>
      <c r="Z40" s="162"/>
      <c r="AA40" s="162"/>
      <c r="AB40" s="162"/>
      <c r="AC40" s="162"/>
      <c r="AD40" s="162"/>
      <c r="AE40" s="162"/>
    </row>
    <row r="41" spans="1:31">
      <c r="A41" s="65"/>
      <c r="B41" s="29"/>
      <c r="C41" s="73"/>
      <c r="D41" s="29"/>
      <c r="E41" s="395"/>
      <c r="F41" s="789"/>
      <c r="G41" s="776" t="s">
        <v>807</v>
      </c>
      <c r="H41" s="777" t="s">
        <v>807</v>
      </c>
      <c r="I41" s="782" t="s">
        <v>807</v>
      </c>
      <c r="J41" s="822" t="str">
        <f t="shared" si="0"/>
        <v/>
      </c>
      <c r="K41" s="828" t="str">
        <f t="shared" si="1"/>
        <v/>
      </c>
      <c r="L41" s="827" t="str">
        <f t="shared" si="2"/>
        <v/>
      </c>
      <c r="M41" s="805" t="s">
        <v>807</v>
      </c>
      <c r="N41" s="579" t="s">
        <v>807</v>
      </c>
      <c r="O41" s="783" t="s">
        <v>807</v>
      </c>
      <c r="P41" s="799" t="str">
        <f t="shared" si="5"/>
        <v/>
      </c>
      <c r="Q41" s="799" t="str">
        <f t="shared" si="6"/>
        <v/>
      </c>
      <c r="R41" s="800" t="str">
        <f t="shared" si="7"/>
        <v/>
      </c>
      <c r="S41" s="162"/>
      <c r="T41" s="162"/>
      <c r="U41" s="162"/>
      <c r="V41" s="162"/>
      <c r="W41" s="162"/>
      <c r="X41" s="162"/>
      <c r="Y41" s="162"/>
      <c r="Z41" s="162"/>
      <c r="AA41" s="162"/>
      <c r="AB41" s="162"/>
      <c r="AC41" s="162"/>
      <c r="AD41" s="162"/>
      <c r="AE41" s="162"/>
    </row>
    <row r="42" spans="1:31">
      <c r="A42" s="65"/>
      <c r="B42" s="29"/>
      <c r="C42" s="73"/>
      <c r="D42" s="29"/>
      <c r="E42" s="395"/>
      <c r="F42" s="789"/>
      <c r="G42" s="776" t="s">
        <v>807</v>
      </c>
      <c r="H42" s="777" t="s">
        <v>807</v>
      </c>
      <c r="I42" s="782" t="s">
        <v>807</v>
      </c>
      <c r="J42" s="822" t="str">
        <f t="shared" si="0"/>
        <v/>
      </c>
      <c r="K42" s="828" t="str">
        <f t="shared" si="1"/>
        <v/>
      </c>
      <c r="L42" s="827" t="str">
        <f t="shared" si="2"/>
        <v/>
      </c>
      <c r="M42" s="805" t="s">
        <v>807</v>
      </c>
      <c r="N42" s="579" t="s">
        <v>807</v>
      </c>
      <c r="O42" s="783" t="s">
        <v>807</v>
      </c>
      <c r="P42" s="799" t="str">
        <f t="shared" si="5"/>
        <v/>
      </c>
      <c r="Q42" s="799" t="str">
        <f t="shared" si="6"/>
        <v/>
      </c>
      <c r="R42" s="800" t="str">
        <f t="shared" si="7"/>
        <v/>
      </c>
      <c r="S42" s="162"/>
      <c r="T42" s="162"/>
      <c r="U42" s="162"/>
      <c r="V42" s="162"/>
      <c r="W42" s="162"/>
      <c r="X42" s="162"/>
      <c r="Y42" s="162"/>
      <c r="Z42" s="162"/>
      <c r="AA42" s="162"/>
      <c r="AB42" s="162"/>
      <c r="AC42" s="162"/>
      <c r="AD42" s="162"/>
      <c r="AE42" s="162"/>
    </row>
    <row r="43" spans="1:31">
      <c r="A43" s="65"/>
      <c r="B43" s="29"/>
      <c r="C43" s="73"/>
      <c r="D43" s="29"/>
      <c r="E43" s="396"/>
      <c r="F43" s="790"/>
      <c r="G43" s="776" t="s">
        <v>807</v>
      </c>
      <c r="H43" s="777" t="s">
        <v>807</v>
      </c>
      <c r="I43" s="782" t="s">
        <v>807</v>
      </c>
      <c r="J43" s="822" t="str">
        <f t="shared" si="0"/>
        <v/>
      </c>
      <c r="K43" s="828" t="str">
        <f t="shared" si="1"/>
        <v/>
      </c>
      <c r="L43" s="827" t="str">
        <f t="shared" si="2"/>
        <v/>
      </c>
      <c r="M43" s="805" t="s">
        <v>807</v>
      </c>
      <c r="N43" s="579" t="s">
        <v>807</v>
      </c>
      <c r="O43" s="783" t="s">
        <v>807</v>
      </c>
      <c r="P43" s="799" t="str">
        <f t="shared" si="5"/>
        <v/>
      </c>
      <c r="Q43" s="799" t="str">
        <f t="shared" si="6"/>
        <v/>
      </c>
      <c r="R43" s="800" t="str">
        <f t="shared" si="7"/>
        <v/>
      </c>
      <c r="S43" s="162"/>
      <c r="T43" s="162"/>
      <c r="U43" s="162"/>
      <c r="V43" s="162"/>
      <c r="W43" s="162"/>
      <c r="X43" s="162"/>
      <c r="Y43" s="162"/>
      <c r="Z43" s="162"/>
      <c r="AA43" s="162"/>
      <c r="AB43" s="162"/>
      <c r="AC43" s="162"/>
      <c r="AD43" s="162"/>
      <c r="AE43" s="162"/>
    </row>
    <row r="44" spans="1:31">
      <c r="A44" s="384"/>
      <c r="B44" s="29"/>
      <c r="C44" s="73"/>
      <c r="D44" s="29"/>
      <c r="E44" s="385"/>
      <c r="F44" s="791"/>
      <c r="G44" s="776" t="s">
        <v>807</v>
      </c>
      <c r="H44" s="777" t="s">
        <v>807</v>
      </c>
      <c r="I44" s="782" t="s">
        <v>807</v>
      </c>
      <c r="J44" s="822" t="str">
        <f t="shared" si="0"/>
        <v/>
      </c>
      <c r="K44" s="828" t="str">
        <f t="shared" si="1"/>
        <v/>
      </c>
      <c r="L44" s="827" t="str">
        <f t="shared" si="2"/>
        <v/>
      </c>
      <c r="M44" s="806" t="s">
        <v>807</v>
      </c>
      <c r="N44" s="580" t="s">
        <v>807</v>
      </c>
      <c r="O44" s="783" t="s">
        <v>807</v>
      </c>
      <c r="P44" s="799" t="str">
        <f t="shared" si="5"/>
        <v/>
      </c>
      <c r="Q44" s="799" t="str">
        <f t="shared" si="6"/>
        <v/>
      </c>
      <c r="R44" s="800" t="str">
        <f t="shared" si="7"/>
        <v/>
      </c>
      <c r="S44" s="162"/>
      <c r="T44" s="162"/>
      <c r="U44" s="162"/>
      <c r="V44" s="162"/>
      <c r="W44" s="162"/>
      <c r="X44" s="162"/>
      <c r="Y44" s="162"/>
      <c r="Z44" s="162"/>
      <c r="AA44" s="162"/>
      <c r="AB44" s="162"/>
      <c r="AC44" s="162"/>
      <c r="AD44" s="162"/>
      <c r="AE44" s="162"/>
    </row>
    <row r="45" spans="1:31">
      <c r="A45" s="384"/>
      <c r="B45" s="29"/>
      <c r="C45" s="73"/>
      <c r="D45" s="29"/>
      <c r="E45" s="385"/>
      <c r="F45" s="791"/>
      <c r="G45" s="776" t="s">
        <v>807</v>
      </c>
      <c r="H45" s="777" t="s">
        <v>807</v>
      </c>
      <c r="I45" s="782" t="s">
        <v>807</v>
      </c>
      <c r="J45" s="822" t="str">
        <f t="shared" si="0"/>
        <v/>
      </c>
      <c r="K45" s="824" t="str">
        <f t="shared" si="1"/>
        <v/>
      </c>
      <c r="L45" s="824" t="str">
        <f t="shared" si="2"/>
        <v/>
      </c>
      <c r="M45" s="806" t="s">
        <v>807</v>
      </c>
      <c r="N45" s="580" t="s">
        <v>807</v>
      </c>
      <c r="O45" s="783" t="s">
        <v>807</v>
      </c>
      <c r="P45" s="799" t="str">
        <f t="shared" si="5"/>
        <v/>
      </c>
      <c r="Q45" s="799" t="str">
        <f t="shared" si="6"/>
        <v/>
      </c>
      <c r="R45" s="800" t="str">
        <f t="shared" si="7"/>
        <v/>
      </c>
      <c r="S45" s="162"/>
      <c r="T45" s="162"/>
      <c r="U45" s="162"/>
      <c r="V45" s="162"/>
      <c r="W45" s="162"/>
      <c r="X45" s="162"/>
      <c r="Y45" s="162"/>
      <c r="Z45" s="162"/>
      <c r="AA45" s="162"/>
      <c r="AB45" s="162"/>
      <c r="AC45" s="162"/>
      <c r="AD45" s="162"/>
      <c r="AE45" s="162"/>
    </row>
    <row r="46" spans="1:31">
      <c r="A46" s="384"/>
      <c r="B46" s="29"/>
      <c r="C46" s="73"/>
      <c r="D46" s="29"/>
      <c r="E46" s="385"/>
      <c r="F46" s="791"/>
      <c r="G46" s="776" t="s">
        <v>807</v>
      </c>
      <c r="H46" s="777" t="s">
        <v>807</v>
      </c>
      <c r="I46" s="782" t="s">
        <v>807</v>
      </c>
      <c r="J46" s="822" t="str">
        <f t="shared" si="0"/>
        <v/>
      </c>
      <c r="K46" s="824" t="str">
        <f t="shared" si="1"/>
        <v/>
      </c>
      <c r="L46" s="824" t="str">
        <f t="shared" si="2"/>
        <v/>
      </c>
      <c r="M46" s="806" t="s">
        <v>807</v>
      </c>
      <c r="N46" s="580" t="s">
        <v>807</v>
      </c>
      <c r="O46" s="783" t="s">
        <v>807</v>
      </c>
      <c r="P46" s="799" t="str">
        <f t="shared" si="5"/>
        <v/>
      </c>
      <c r="Q46" s="799" t="str">
        <f t="shared" si="6"/>
        <v/>
      </c>
      <c r="R46" s="800" t="str">
        <f t="shared" si="7"/>
        <v/>
      </c>
      <c r="S46" s="162"/>
      <c r="T46" s="162"/>
      <c r="U46" s="162"/>
      <c r="V46" s="162"/>
      <c r="W46" s="162"/>
      <c r="X46" s="162"/>
      <c r="Y46" s="162"/>
      <c r="Z46" s="162"/>
      <c r="AA46" s="162"/>
      <c r="AB46" s="162"/>
      <c r="AC46" s="162"/>
      <c r="AD46" s="162"/>
      <c r="AE46" s="162"/>
    </row>
    <row r="47" spans="1:31">
      <c r="A47" s="384"/>
      <c r="B47" s="29"/>
      <c r="C47" s="73"/>
      <c r="D47" s="29"/>
      <c r="E47" s="385"/>
      <c r="F47" s="791"/>
      <c r="G47" s="776" t="s">
        <v>807</v>
      </c>
      <c r="H47" s="777" t="s">
        <v>807</v>
      </c>
      <c r="I47" s="782" t="s">
        <v>807</v>
      </c>
      <c r="J47" s="822" t="str">
        <f t="shared" si="0"/>
        <v/>
      </c>
      <c r="K47" s="824" t="str">
        <f t="shared" si="1"/>
        <v/>
      </c>
      <c r="L47" s="824" t="str">
        <f t="shared" si="2"/>
        <v/>
      </c>
      <c r="M47" s="806" t="s">
        <v>807</v>
      </c>
      <c r="N47" s="580" t="s">
        <v>807</v>
      </c>
      <c r="O47" s="783" t="s">
        <v>807</v>
      </c>
      <c r="P47" s="799" t="str">
        <f t="shared" si="5"/>
        <v/>
      </c>
      <c r="Q47" s="799" t="str">
        <f t="shared" si="6"/>
        <v/>
      </c>
      <c r="R47" s="800" t="str">
        <f t="shared" si="7"/>
        <v/>
      </c>
      <c r="S47" s="162"/>
      <c r="T47" s="162"/>
      <c r="U47" s="162"/>
      <c r="V47" s="162"/>
      <c r="W47" s="162"/>
      <c r="X47" s="162"/>
      <c r="Y47" s="162"/>
      <c r="Z47" s="162"/>
      <c r="AA47" s="162"/>
      <c r="AB47" s="162"/>
      <c r="AC47" s="162"/>
      <c r="AD47" s="162"/>
      <c r="AE47" s="162"/>
    </row>
    <row r="48" spans="1:31">
      <c r="A48" s="384"/>
      <c r="B48" s="29"/>
      <c r="C48" s="73"/>
      <c r="D48" s="29"/>
      <c r="E48" s="385"/>
      <c r="F48" s="791"/>
      <c r="G48" s="776" t="s">
        <v>807</v>
      </c>
      <c r="H48" s="777" t="s">
        <v>807</v>
      </c>
      <c r="I48" s="782" t="s">
        <v>807</v>
      </c>
      <c r="J48" s="822" t="str">
        <f t="shared" si="0"/>
        <v/>
      </c>
      <c r="K48" s="824" t="str">
        <f t="shared" si="1"/>
        <v/>
      </c>
      <c r="L48" s="824" t="str">
        <f t="shared" si="2"/>
        <v/>
      </c>
      <c r="M48" s="806" t="s">
        <v>807</v>
      </c>
      <c r="N48" s="580" t="s">
        <v>807</v>
      </c>
      <c r="O48" s="783" t="s">
        <v>807</v>
      </c>
      <c r="P48" s="799" t="str">
        <f t="shared" si="5"/>
        <v/>
      </c>
      <c r="Q48" s="799" t="str">
        <f t="shared" si="6"/>
        <v/>
      </c>
      <c r="R48" s="800" t="str">
        <f t="shared" si="7"/>
        <v/>
      </c>
      <c r="S48" s="162"/>
      <c r="T48" s="162"/>
      <c r="U48" s="162"/>
      <c r="V48" s="162"/>
      <c r="W48" s="162"/>
      <c r="X48" s="162"/>
      <c r="Y48" s="162"/>
      <c r="Z48" s="162"/>
      <c r="AA48" s="162"/>
      <c r="AB48" s="162"/>
      <c r="AC48" s="162"/>
      <c r="AD48" s="162"/>
      <c r="AE48" s="162"/>
    </row>
    <row r="49" spans="1:31">
      <c r="A49" s="384"/>
      <c r="B49" s="29"/>
      <c r="C49" s="73"/>
      <c r="D49" s="29"/>
      <c r="E49" s="385"/>
      <c r="F49" s="791"/>
      <c r="G49" s="776" t="s">
        <v>807</v>
      </c>
      <c r="H49" s="777" t="s">
        <v>807</v>
      </c>
      <c r="I49" s="782" t="s">
        <v>807</v>
      </c>
      <c r="J49" s="822" t="str">
        <f t="shared" si="0"/>
        <v/>
      </c>
      <c r="K49" s="824" t="str">
        <f t="shared" si="1"/>
        <v/>
      </c>
      <c r="L49" s="824" t="str">
        <f t="shared" si="2"/>
        <v/>
      </c>
      <c r="M49" s="806" t="s">
        <v>807</v>
      </c>
      <c r="N49" s="580" t="s">
        <v>807</v>
      </c>
      <c r="O49" s="783" t="s">
        <v>807</v>
      </c>
      <c r="P49" s="799" t="str">
        <f t="shared" si="5"/>
        <v/>
      </c>
      <c r="Q49" s="799" t="str">
        <f t="shared" si="6"/>
        <v/>
      </c>
      <c r="R49" s="800" t="str">
        <f t="shared" si="7"/>
        <v/>
      </c>
      <c r="S49" s="162"/>
      <c r="T49" s="162"/>
      <c r="U49" s="162"/>
      <c r="V49" s="162"/>
      <c r="W49" s="162"/>
      <c r="X49" s="162"/>
      <c r="Y49" s="162"/>
      <c r="Z49" s="162"/>
      <c r="AA49" s="162"/>
      <c r="AB49" s="162"/>
      <c r="AC49" s="162"/>
      <c r="AD49" s="162"/>
      <c r="AE49" s="162"/>
    </row>
    <row r="50" spans="1:31">
      <c r="A50" s="384"/>
      <c r="B50" s="29"/>
      <c r="C50" s="73"/>
      <c r="D50" s="29"/>
      <c r="E50" s="385"/>
      <c r="F50" s="791"/>
      <c r="G50" s="776" t="s">
        <v>807</v>
      </c>
      <c r="H50" s="777" t="s">
        <v>807</v>
      </c>
      <c r="I50" s="782" t="s">
        <v>807</v>
      </c>
      <c r="J50" s="822" t="str">
        <f t="shared" si="0"/>
        <v/>
      </c>
      <c r="K50" s="824" t="str">
        <f t="shared" si="1"/>
        <v/>
      </c>
      <c r="L50" s="824" t="str">
        <f t="shared" si="2"/>
        <v/>
      </c>
      <c r="M50" s="806" t="s">
        <v>807</v>
      </c>
      <c r="N50" s="580" t="s">
        <v>807</v>
      </c>
      <c r="O50" s="783" t="s">
        <v>807</v>
      </c>
      <c r="P50" s="799" t="str">
        <f t="shared" si="5"/>
        <v/>
      </c>
      <c r="Q50" s="799" t="str">
        <f t="shared" si="6"/>
        <v/>
      </c>
      <c r="R50" s="800" t="str">
        <f t="shared" si="7"/>
        <v/>
      </c>
      <c r="S50" s="162"/>
      <c r="T50" s="162"/>
      <c r="U50" s="162"/>
      <c r="V50" s="162"/>
      <c r="W50" s="162"/>
      <c r="X50" s="162"/>
      <c r="Y50" s="162"/>
      <c r="Z50" s="162"/>
      <c r="AA50" s="162"/>
      <c r="AB50" s="162"/>
      <c r="AC50" s="162"/>
      <c r="AD50" s="162"/>
      <c r="AE50" s="162"/>
    </row>
    <row r="51" spans="1:31">
      <c r="A51" s="384"/>
      <c r="B51" s="29"/>
      <c r="C51" s="73"/>
      <c r="D51" s="29"/>
      <c r="E51" s="385"/>
      <c r="F51" s="791"/>
      <c r="G51" s="776" t="s">
        <v>807</v>
      </c>
      <c r="H51" s="777" t="s">
        <v>807</v>
      </c>
      <c r="I51" s="782" t="s">
        <v>807</v>
      </c>
      <c r="J51" s="822" t="str">
        <f t="shared" si="0"/>
        <v/>
      </c>
      <c r="K51" s="824" t="str">
        <f t="shared" si="1"/>
        <v/>
      </c>
      <c r="L51" s="824" t="str">
        <f t="shared" si="2"/>
        <v/>
      </c>
      <c r="M51" s="806" t="s">
        <v>807</v>
      </c>
      <c r="N51" s="580" t="s">
        <v>807</v>
      </c>
      <c r="O51" s="783" t="s">
        <v>807</v>
      </c>
      <c r="P51" s="799" t="str">
        <f t="shared" si="5"/>
        <v/>
      </c>
      <c r="Q51" s="799" t="str">
        <f t="shared" si="6"/>
        <v/>
      </c>
      <c r="R51" s="800" t="str">
        <f t="shared" si="7"/>
        <v/>
      </c>
      <c r="S51" s="162"/>
      <c r="T51" s="162"/>
      <c r="U51" s="162"/>
      <c r="V51" s="162"/>
      <c r="W51" s="162"/>
      <c r="X51" s="162"/>
      <c r="Y51" s="162"/>
      <c r="Z51" s="162"/>
      <c r="AA51" s="162"/>
      <c r="AB51" s="162"/>
      <c r="AC51" s="162"/>
      <c r="AD51" s="162"/>
      <c r="AE51" s="162"/>
    </row>
    <row r="52" spans="1:31">
      <c r="A52" s="384"/>
      <c r="B52" s="29"/>
      <c r="C52" s="73"/>
      <c r="D52" s="29"/>
      <c r="E52" s="385"/>
      <c r="F52" s="791"/>
      <c r="G52" s="776" t="s">
        <v>807</v>
      </c>
      <c r="H52" s="777" t="s">
        <v>807</v>
      </c>
      <c r="I52" s="782" t="s">
        <v>807</v>
      </c>
      <c r="J52" s="822" t="str">
        <f t="shared" si="0"/>
        <v/>
      </c>
      <c r="K52" s="824" t="str">
        <f t="shared" si="1"/>
        <v/>
      </c>
      <c r="L52" s="824" t="str">
        <f t="shared" si="2"/>
        <v/>
      </c>
      <c r="M52" s="806" t="s">
        <v>807</v>
      </c>
      <c r="N52" s="580" t="s">
        <v>807</v>
      </c>
      <c r="O52" s="783" t="s">
        <v>807</v>
      </c>
      <c r="P52" s="799" t="str">
        <f t="shared" si="5"/>
        <v/>
      </c>
      <c r="Q52" s="799" t="str">
        <f t="shared" si="6"/>
        <v/>
      </c>
      <c r="R52" s="800" t="str">
        <f t="shared" si="7"/>
        <v/>
      </c>
      <c r="S52" s="162"/>
      <c r="T52" s="162"/>
      <c r="U52" s="162"/>
      <c r="V52" s="162"/>
      <c r="W52" s="162"/>
      <c r="X52" s="162"/>
      <c r="Y52" s="162"/>
      <c r="Z52" s="162"/>
      <c r="AA52" s="162"/>
      <c r="AB52" s="162"/>
      <c r="AC52" s="162"/>
      <c r="AD52" s="162"/>
      <c r="AE52" s="162"/>
    </row>
    <row r="53" spans="1:31">
      <c r="A53" s="384"/>
      <c r="B53" s="29"/>
      <c r="C53" s="73"/>
      <c r="D53" s="29"/>
      <c r="E53" s="385"/>
      <c r="F53" s="791"/>
      <c r="G53" s="776" t="s">
        <v>807</v>
      </c>
      <c r="H53" s="777" t="s">
        <v>807</v>
      </c>
      <c r="I53" s="782" t="s">
        <v>807</v>
      </c>
      <c r="J53" s="822" t="str">
        <f t="shared" si="0"/>
        <v/>
      </c>
      <c r="K53" s="824" t="str">
        <f t="shared" si="1"/>
        <v/>
      </c>
      <c r="L53" s="824" t="str">
        <f t="shared" si="2"/>
        <v/>
      </c>
      <c r="M53" s="806" t="s">
        <v>807</v>
      </c>
      <c r="N53" s="580" t="s">
        <v>807</v>
      </c>
      <c r="O53" s="783" t="s">
        <v>807</v>
      </c>
      <c r="P53" s="799" t="str">
        <f t="shared" si="5"/>
        <v/>
      </c>
      <c r="Q53" s="799" t="str">
        <f t="shared" si="6"/>
        <v/>
      </c>
      <c r="R53" s="800" t="str">
        <f t="shared" si="7"/>
        <v/>
      </c>
      <c r="S53" s="162"/>
      <c r="T53" s="162"/>
      <c r="U53" s="162"/>
      <c r="V53" s="162"/>
      <c r="W53" s="162"/>
      <c r="X53" s="162"/>
      <c r="Y53" s="162"/>
      <c r="Z53" s="162"/>
      <c r="AA53" s="162"/>
      <c r="AB53" s="162"/>
      <c r="AC53" s="162"/>
      <c r="AD53" s="162"/>
      <c r="AE53" s="162"/>
    </row>
    <row r="54" spans="1:31">
      <c r="A54" s="384"/>
      <c r="B54" s="29"/>
      <c r="C54" s="73"/>
      <c r="D54" s="29"/>
      <c r="E54" s="385"/>
      <c r="F54" s="791"/>
      <c r="G54" s="776" t="s">
        <v>807</v>
      </c>
      <c r="H54" s="777" t="s">
        <v>807</v>
      </c>
      <c r="I54" s="782" t="s">
        <v>807</v>
      </c>
      <c r="J54" s="822" t="str">
        <f t="shared" si="0"/>
        <v/>
      </c>
      <c r="K54" s="824" t="str">
        <f t="shared" si="1"/>
        <v/>
      </c>
      <c r="L54" s="824" t="str">
        <f t="shared" si="2"/>
        <v/>
      </c>
      <c r="M54" s="806" t="s">
        <v>807</v>
      </c>
      <c r="N54" s="580" t="s">
        <v>807</v>
      </c>
      <c r="O54" s="783" t="s">
        <v>807</v>
      </c>
      <c r="P54" s="799" t="str">
        <f t="shared" si="5"/>
        <v/>
      </c>
      <c r="Q54" s="799" t="str">
        <f t="shared" si="6"/>
        <v/>
      </c>
      <c r="R54" s="800" t="str">
        <f t="shared" si="7"/>
        <v/>
      </c>
      <c r="S54" s="162"/>
      <c r="T54" s="162"/>
      <c r="U54" s="162"/>
      <c r="V54" s="162"/>
      <c r="W54" s="162"/>
      <c r="X54" s="162"/>
      <c r="Y54" s="162"/>
      <c r="Z54" s="162"/>
      <c r="AA54" s="162"/>
      <c r="AB54" s="162"/>
      <c r="AC54" s="162"/>
      <c r="AD54" s="162"/>
      <c r="AE54" s="162"/>
    </row>
    <row r="55" spans="1:31">
      <c r="A55" s="384"/>
      <c r="B55" s="29"/>
      <c r="C55" s="73"/>
      <c r="D55" s="29"/>
      <c r="E55" s="385"/>
      <c r="F55" s="791"/>
      <c r="G55" s="776" t="s">
        <v>807</v>
      </c>
      <c r="H55" s="777" t="s">
        <v>807</v>
      </c>
      <c r="I55" s="782" t="s">
        <v>807</v>
      </c>
      <c r="J55" s="822" t="str">
        <f t="shared" si="0"/>
        <v/>
      </c>
      <c r="K55" s="824" t="str">
        <f t="shared" si="1"/>
        <v/>
      </c>
      <c r="L55" s="824" t="str">
        <f t="shared" si="2"/>
        <v/>
      </c>
      <c r="M55" s="806" t="s">
        <v>807</v>
      </c>
      <c r="N55" s="580" t="s">
        <v>807</v>
      </c>
      <c r="O55" s="783" t="s">
        <v>807</v>
      </c>
      <c r="P55" s="799" t="str">
        <f t="shared" si="5"/>
        <v/>
      </c>
      <c r="Q55" s="799" t="str">
        <f t="shared" si="6"/>
        <v/>
      </c>
      <c r="R55" s="800" t="str">
        <f t="shared" si="7"/>
        <v/>
      </c>
      <c r="S55" s="162"/>
      <c r="T55" s="162"/>
      <c r="U55" s="162"/>
      <c r="V55" s="162"/>
      <c r="W55" s="162"/>
      <c r="X55" s="162"/>
      <c r="Y55" s="162"/>
      <c r="Z55" s="162"/>
      <c r="AA55" s="162"/>
      <c r="AB55" s="162"/>
      <c r="AC55" s="162"/>
      <c r="AD55" s="162"/>
      <c r="AE55" s="162"/>
    </row>
    <row r="56" spans="1:31">
      <c r="A56" s="384"/>
      <c r="B56" s="29"/>
      <c r="C56" s="73"/>
      <c r="D56" s="29"/>
      <c r="E56" s="385"/>
      <c r="F56" s="791"/>
      <c r="G56" s="776" t="s">
        <v>807</v>
      </c>
      <c r="H56" s="777" t="s">
        <v>807</v>
      </c>
      <c r="I56" s="782" t="s">
        <v>807</v>
      </c>
      <c r="J56" s="822" t="str">
        <f t="shared" si="0"/>
        <v/>
      </c>
      <c r="K56" s="824" t="str">
        <f t="shared" si="1"/>
        <v/>
      </c>
      <c r="L56" s="824" t="str">
        <f t="shared" si="2"/>
        <v/>
      </c>
      <c r="M56" s="806" t="s">
        <v>807</v>
      </c>
      <c r="N56" s="580" t="s">
        <v>807</v>
      </c>
      <c r="O56" s="783" t="s">
        <v>807</v>
      </c>
      <c r="P56" s="799" t="str">
        <f t="shared" si="5"/>
        <v/>
      </c>
      <c r="Q56" s="799" t="str">
        <f t="shared" si="6"/>
        <v/>
      </c>
      <c r="R56" s="800" t="str">
        <f t="shared" si="7"/>
        <v/>
      </c>
      <c r="S56" s="162"/>
      <c r="T56" s="162"/>
      <c r="U56" s="162"/>
      <c r="V56" s="162"/>
      <c r="W56" s="162"/>
      <c r="X56" s="162"/>
      <c r="Y56" s="162"/>
      <c r="Z56" s="162"/>
      <c r="AA56" s="162"/>
      <c r="AB56" s="162"/>
      <c r="AC56" s="162"/>
      <c r="AD56" s="162"/>
      <c r="AE56" s="162"/>
    </row>
    <row r="57" spans="1:31">
      <c r="A57" s="384"/>
      <c r="B57" s="29"/>
      <c r="C57" s="73"/>
      <c r="D57" s="29"/>
      <c r="E57" s="385"/>
      <c r="F57" s="791"/>
      <c r="G57" s="776" t="s">
        <v>807</v>
      </c>
      <c r="H57" s="777" t="s">
        <v>807</v>
      </c>
      <c r="I57" s="782" t="s">
        <v>807</v>
      </c>
      <c r="J57" s="822" t="str">
        <f t="shared" si="0"/>
        <v/>
      </c>
      <c r="K57" s="824" t="str">
        <f t="shared" si="1"/>
        <v/>
      </c>
      <c r="L57" s="824" t="str">
        <f t="shared" si="2"/>
        <v/>
      </c>
      <c r="M57" s="806" t="s">
        <v>807</v>
      </c>
      <c r="N57" s="580" t="s">
        <v>807</v>
      </c>
      <c r="O57" s="783" t="s">
        <v>807</v>
      </c>
      <c r="P57" s="799" t="str">
        <f t="shared" si="5"/>
        <v/>
      </c>
      <c r="Q57" s="799" t="str">
        <f t="shared" si="6"/>
        <v/>
      </c>
      <c r="R57" s="800" t="str">
        <f t="shared" si="7"/>
        <v/>
      </c>
      <c r="S57" s="162"/>
      <c r="T57" s="162"/>
      <c r="U57" s="162"/>
      <c r="V57" s="162"/>
      <c r="W57" s="162"/>
      <c r="X57" s="162"/>
      <c r="Y57" s="162"/>
      <c r="Z57" s="162"/>
      <c r="AA57" s="162"/>
      <c r="AB57" s="162"/>
      <c r="AC57" s="162"/>
      <c r="AD57" s="162"/>
      <c r="AE57" s="162"/>
    </row>
    <row r="58" spans="1:31">
      <c r="A58" s="65"/>
      <c r="B58" s="29"/>
      <c r="C58" s="73"/>
      <c r="D58" s="29"/>
      <c r="E58" s="396"/>
      <c r="F58" s="790"/>
      <c r="G58" s="776" t="s">
        <v>807</v>
      </c>
      <c r="H58" s="777" t="s">
        <v>807</v>
      </c>
      <c r="I58" s="782" t="s">
        <v>807</v>
      </c>
      <c r="J58" s="822" t="str">
        <f t="shared" si="0"/>
        <v/>
      </c>
      <c r="K58" s="824" t="str">
        <f t="shared" si="1"/>
        <v/>
      </c>
      <c r="L58" s="824" t="str">
        <f t="shared" si="2"/>
        <v/>
      </c>
      <c r="M58" s="806" t="s">
        <v>807</v>
      </c>
      <c r="N58" s="580" t="s">
        <v>807</v>
      </c>
      <c r="O58" s="783" t="s">
        <v>807</v>
      </c>
      <c r="P58" s="799" t="str">
        <f t="shared" si="5"/>
        <v/>
      </c>
      <c r="Q58" s="799" t="str">
        <f t="shared" si="6"/>
        <v/>
      </c>
      <c r="R58" s="800" t="str">
        <f t="shared" si="7"/>
        <v/>
      </c>
      <c r="S58" s="162"/>
      <c r="T58" s="162"/>
      <c r="U58" s="162"/>
      <c r="V58" s="162"/>
      <c r="W58" s="162"/>
      <c r="X58" s="162"/>
      <c r="Y58" s="162"/>
      <c r="Z58" s="162"/>
      <c r="AA58" s="162"/>
      <c r="AB58" s="162"/>
      <c r="AC58" s="162"/>
      <c r="AD58" s="162"/>
      <c r="AE58" s="162"/>
    </row>
    <row r="59" spans="1:31">
      <c r="A59" s="384"/>
      <c r="B59" s="29"/>
      <c r="C59" s="73"/>
      <c r="D59" s="29"/>
      <c r="E59" s="396"/>
      <c r="F59" s="790"/>
      <c r="G59" s="776" t="s">
        <v>807</v>
      </c>
      <c r="H59" s="777" t="s">
        <v>807</v>
      </c>
      <c r="I59" s="782" t="s">
        <v>807</v>
      </c>
      <c r="J59" s="822" t="str">
        <f t="shared" si="0"/>
        <v/>
      </c>
      <c r="K59" s="824" t="str">
        <f t="shared" si="1"/>
        <v/>
      </c>
      <c r="L59" s="824" t="str">
        <f t="shared" si="2"/>
        <v/>
      </c>
      <c r="M59" s="805" t="s">
        <v>807</v>
      </c>
      <c r="N59" s="579" t="s">
        <v>807</v>
      </c>
      <c r="O59" s="783" t="s">
        <v>807</v>
      </c>
      <c r="P59" s="799" t="str">
        <f t="shared" si="5"/>
        <v/>
      </c>
      <c r="Q59" s="799" t="str">
        <f t="shared" si="6"/>
        <v/>
      </c>
      <c r="R59" s="800" t="str">
        <f t="shared" si="7"/>
        <v/>
      </c>
      <c r="S59" s="162"/>
      <c r="T59" s="162"/>
      <c r="U59" s="162"/>
      <c r="V59" s="162"/>
      <c r="W59" s="162"/>
      <c r="X59" s="162"/>
      <c r="Y59" s="162"/>
      <c r="Z59" s="162"/>
      <c r="AA59" s="162"/>
      <c r="AB59" s="162"/>
      <c r="AC59" s="162"/>
      <c r="AD59" s="162"/>
      <c r="AE59" s="162"/>
    </row>
    <row r="60" spans="1:31">
      <c r="A60" s="65"/>
      <c r="B60" s="29"/>
      <c r="C60" s="73"/>
      <c r="D60" s="29"/>
      <c r="E60" s="396"/>
      <c r="F60" s="790"/>
      <c r="G60" s="776" t="s">
        <v>807</v>
      </c>
      <c r="H60" s="777" t="s">
        <v>807</v>
      </c>
      <c r="I60" s="782" t="s">
        <v>807</v>
      </c>
      <c r="J60" s="822" t="str">
        <f t="shared" si="0"/>
        <v/>
      </c>
      <c r="K60" s="824" t="str">
        <f t="shared" si="1"/>
        <v/>
      </c>
      <c r="L60" s="824" t="str">
        <f t="shared" si="2"/>
        <v/>
      </c>
      <c r="M60" s="805" t="s">
        <v>807</v>
      </c>
      <c r="N60" s="579" t="s">
        <v>807</v>
      </c>
      <c r="O60" s="783" t="s">
        <v>807</v>
      </c>
      <c r="P60" s="799" t="str">
        <f t="shared" si="5"/>
        <v/>
      </c>
      <c r="Q60" s="799" t="str">
        <f t="shared" si="6"/>
        <v/>
      </c>
      <c r="R60" s="800" t="str">
        <f t="shared" si="7"/>
        <v/>
      </c>
      <c r="S60" s="162"/>
      <c r="T60" s="162"/>
      <c r="U60" s="162"/>
      <c r="V60" s="162"/>
      <c r="W60" s="162"/>
      <c r="X60" s="162"/>
      <c r="Y60" s="162"/>
      <c r="Z60" s="162"/>
      <c r="AA60" s="162"/>
      <c r="AB60" s="162"/>
      <c r="AC60" s="162"/>
      <c r="AD60" s="162"/>
      <c r="AE60" s="162"/>
    </row>
    <row r="61" spans="1:31">
      <c r="A61" s="65"/>
      <c r="B61" s="29"/>
      <c r="C61" s="73"/>
      <c r="D61" s="29"/>
      <c r="E61" s="396"/>
      <c r="F61" s="790"/>
      <c r="G61" s="776" t="s">
        <v>807</v>
      </c>
      <c r="H61" s="777" t="s">
        <v>807</v>
      </c>
      <c r="I61" s="782" t="s">
        <v>807</v>
      </c>
      <c r="J61" s="822" t="str">
        <f t="shared" si="0"/>
        <v/>
      </c>
      <c r="K61" s="824" t="str">
        <f t="shared" si="1"/>
        <v/>
      </c>
      <c r="L61" s="824" t="str">
        <f t="shared" si="2"/>
        <v/>
      </c>
      <c r="M61" s="805" t="s">
        <v>807</v>
      </c>
      <c r="N61" s="579" t="s">
        <v>807</v>
      </c>
      <c r="O61" s="783" t="s">
        <v>807</v>
      </c>
      <c r="P61" s="799" t="str">
        <f t="shared" si="5"/>
        <v/>
      </c>
      <c r="Q61" s="799" t="str">
        <f t="shared" si="6"/>
        <v/>
      </c>
      <c r="R61" s="800" t="str">
        <f t="shared" si="7"/>
        <v/>
      </c>
      <c r="S61" s="162"/>
      <c r="T61" s="162"/>
      <c r="U61" s="162"/>
      <c r="V61" s="162"/>
      <c r="W61" s="162"/>
      <c r="X61" s="162"/>
      <c r="Y61" s="162"/>
      <c r="Z61" s="162"/>
      <c r="AA61" s="162"/>
      <c r="AB61" s="162"/>
      <c r="AC61" s="162"/>
      <c r="AD61" s="162"/>
      <c r="AE61" s="162"/>
    </row>
    <row r="62" spans="1:31">
      <c r="A62" s="65"/>
      <c r="B62" s="29"/>
      <c r="C62" s="73"/>
      <c r="D62" s="29"/>
      <c r="E62" s="396"/>
      <c r="F62" s="790"/>
      <c r="G62" s="776" t="s">
        <v>807</v>
      </c>
      <c r="H62" s="777" t="s">
        <v>807</v>
      </c>
      <c r="I62" s="782" t="s">
        <v>807</v>
      </c>
      <c r="J62" s="822" t="str">
        <f t="shared" si="0"/>
        <v/>
      </c>
      <c r="K62" s="824" t="str">
        <f t="shared" si="1"/>
        <v/>
      </c>
      <c r="L62" s="824" t="str">
        <f t="shared" si="2"/>
        <v/>
      </c>
      <c r="M62" s="805" t="s">
        <v>807</v>
      </c>
      <c r="N62" s="579" t="s">
        <v>807</v>
      </c>
      <c r="O62" s="783" t="s">
        <v>807</v>
      </c>
      <c r="P62" s="799" t="str">
        <f t="shared" si="5"/>
        <v/>
      </c>
      <c r="Q62" s="799" t="str">
        <f t="shared" si="6"/>
        <v/>
      </c>
      <c r="R62" s="800" t="str">
        <f t="shared" si="7"/>
        <v/>
      </c>
      <c r="S62" s="162"/>
      <c r="T62" s="162"/>
      <c r="U62" s="162"/>
      <c r="V62" s="162"/>
      <c r="W62" s="162"/>
      <c r="X62" s="162"/>
      <c r="Y62" s="162"/>
      <c r="Z62" s="162"/>
      <c r="AA62" s="162"/>
      <c r="AB62" s="162"/>
      <c r="AC62" s="162"/>
      <c r="AD62" s="162"/>
      <c r="AE62" s="162"/>
    </row>
    <row r="63" spans="1:31" ht="13.5" thickBot="1">
      <c r="A63" s="66"/>
      <c r="B63" s="67"/>
      <c r="C63" s="74"/>
      <c r="D63" s="67"/>
      <c r="E63" s="397"/>
      <c r="F63" s="792"/>
      <c r="G63" s="798" t="s">
        <v>807</v>
      </c>
      <c r="H63" s="778" t="s">
        <v>807</v>
      </c>
      <c r="I63" s="781" t="s">
        <v>807</v>
      </c>
      <c r="J63" s="829" t="str">
        <f t="shared" si="0"/>
        <v/>
      </c>
      <c r="K63" s="825" t="str">
        <f t="shared" si="1"/>
        <v/>
      </c>
      <c r="L63" s="825" t="str">
        <f t="shared" si="2"/>
        <v/>
      </c>
      <c r="M63" s="807" t="s">
        <v>807</v>
      </c>
      <c r="N63" s="581" t="s">
        <v>807</v>
      </c>
      <c r="O63" s="784" t="s">
        <v>807</v>
      </c>
      <c r="P63" s="801" t="str">
        <f t="shared" si="5"/>
        <v/>
      </c>
      <c r="Q63" s="801" t="str">
        <f t="shared" si="6"/>
        <v/>
      </c>
      <c r="R63" s="802" t="str">
        <f t="shared" si="7"/>
        <v/>
      </c>
      <c r="S63" s="162"/>
      <c r="T63" s="162"/>
      <c r="U63" s="162"/>
      <c r="V63" s="162"/>
      <c r="W63" s="162"/>
      <c r="X63" s="162"/>
      <c r="Y63" s="162"/>
      <c r="Z63" s="162"/>
      <c r="AA63" s="162"/>
      <c r="AB63" s="162"/>
      <c r="AC63" s="162"/>
      <c r="AD63" s="162"/>
      <c r="AE63" s="162"/>
    </row>
    <row r="64" spans="1:31">
      <c r="A64" s="229"/>
      <c r="B64" s="229"/>
      <c r="C64" s="229"/>
      <c r="D64" s="229"/>
      <c r="E64" s="230"/>
      <c r="F64" s="231"/>
      <c r="G64" s="232"/>
      <c r="H64" s="232"/>
      <c r="I64" s="232"/>
      <c r="J64" s="232"/>
      <c r="K64" s="232"/>
      <c r="L64" s="232"/>
      <c r="M64" s="162"/>
      <c r="N64" s="162"/>
      <c r="O64" s="162"/>
      <c r="P64" s="162"/>
      <c r="Q64" s="162"/>
      <c r="R64" s="162"/>
      <c r="S64" s="162"/>
      <c r="T64" s="162"/>
      <c r="U64" s="162"/>
      <c r="V64" s="162"/>
      <c r="W64" s="162"/>
      <c r="X64" s="162"/>
      <c r="Y64" s="162"/>
      <c r="Z64" s="162"/>
      <c r="AA64" s="162"/>
      <c r="AB64" s="162"/>
      <c r="AC64" s="162"/>
      <c r="AD64" s="162"/>
      <c r="AE64" s="162"/>
    </row>
    <row r="65" spans="1:30">
      <c r="A65" s="251" t="s">
        <v>316</v>
      </c>
      <c r="B65" s="221"/>
      <c r="C65" s="221"/>
      <c r="D65" s="221"/>
      <c r="E65" s="221"/>
      <c r="F65" s="221"/>
      <c r="G65" s="221"/>
      <c r="H65" s="221"/>
      <c r="I65" s="221"/>
      <c r="J65" s="221"/>
      <c r="K65" s="221"/>
      <c r="L65" s="221"/>
      <c r="M65" s="221"/>
      <c r="N65" s="221"/>
      <c r="O65" s="221"/>
      <c r="P65" s="221"/>
      <c r="Q65" s="221"/>
      <c r="R65" s="221"/>
      <c r="S65" s="162"/>
      <c r="T65" s="162"/>
      <c r="U65" s="162"/>
      <c r="V65" s="162"/>
      <c r="W65" s="162"/>
      <c r="X65" s="162"/>
      <c r="Y65" s="162"/>
      <c r="Z65" s="162"/>
      <c r="AA65" s="162"/>
      <c r="AB65" s="162"/>
      <c r="AC65" s="162"/>
      <c r="AD65" s="162"/>
    </row>
    <row r="66" spans="1:30" ht="13.5" thickBot="1">
      <c r="A66" s="7" t="s">
        <v>306</v>
      </c>
      <c r="D66" s="4"/>
      <c r="E66" s="4"/>
      <c r="F66" s="4"/>
      <c r="G66" s="4"/>
      <c r="H66" s="4"/>
      <c r="I66" s="162"/>
      <c r="J66" s="162"/>
      <c r="K66" s="162"/>
      <c r="L66" s="162"/>
      <c r="M66" s="162"/>
      <c r="N66" s="162"/>
      <c r="O66" s="162"/>
      <c r="P66" s="162"/>
      <c r="Q66" s="162"/>
      <c r="R66" s="162"/>
      <c r="S66" s="162"/>
      <c r="T66" s="162"/>
      <c r="U66" s="162"/>
      <c r="V66" s="162"/>
      <c r="W66" s="162"/>
      <c r="X66" s="162"/>
      <c r="Y66" s="162"/>
      <c r="Z66" s="162"/>
      <c r="AA66" s="162"/>
      <c r="AB66" s="162"/>
      <c r="AC66" s="162"/>
      <c r="AD66" s="162"/>
    </row>
    <row r="67" spans="1:30" ht="13.5" customHeight="1" thickBot="1">
      <c r="A67" s="4"/>
      <c r="B67" s="4"/>
      <c r="C67" s="1269" t="s">
        <v>808</v>
      </c>
      <c r="D67" s="1270"/>
      <c r="E67" s="1270"/>
      <c r="F67" s="1262" t="s">
        <v>727</v>
      </c>
      <c r="G67" s="1263"/>
      <c r="H67" s="1264"/>
      <c r="I67" s="162"/>
      <c r="J67" s="162"/>
      <c r="K67" s="162"/>
      <c r="L67" s="162"/>
      <c r="M67" s="162"/>
      <c r="N67" s="162"/>
      <c r="O67" s="162"/>
      <c r="P67" s="162"/>
      <c r="Q67" s="162"/>
      <c r="R67" s="162"/>
      <c r="S67" s="162"/>
      <c r="T67" s="162"/>
      <c r="U67" s="162"/>
      <c r="V67" s="162"/>
      <c r="W67" s="162"/>
      <c r="X67" s="162"/>
      <c r="Y67" s="162"/>
      <c r="Z67" s="162"/>
      <c r="AA67" s="162"/>
      <c r="AB67" s="162"/>
    </row>
    <row r="68" spans="1:30" ht="14.25">
      <c r="A68" s="1267" t="s">
        <v>161</v>
      </c>
      <c r="B68" s="1197"/>
      <c r="C68" s="113" t="s">
        <v>170</v>
      </c>
      <c r="D68" s="13" t="s">
        <v>171</v>
      </c>
      <c r="E68" s="14" t="s">
        <v>172</v>
      </c>
      <c r="F68" s="12" t="s">
        <v>170</v>
      </c>
      <c r="G68" s="13" t="s">
        <v>171</v>
      </c>
      <c r="H68" s="14" t="s">
        <v>172</v>
      </c>
      <c r="I68" s="162"/>
      <c r="J68" s="162"/>
      <c r="K68" s="162"/>
      <c r="L68" s="162"/>
      <c r="M68" s="162"/>
      <c r="N68" s="162"/>
      <c r="O68" s="162"/>
      <c r="P68" s="162"/>
      <c r="Q68" s="162"/>
      <c r="R68" s="162"/>
      <c r="S68" s="162"/>
      <c r="T68" s="162"/>
      <c r="U68" s="162"/>
      <c r="V68" s="162"/>
      <c r="W68" s="162"/>
      <c r="X68" s="162"/>
      <c r="Y68" s="162"/>
    </row>
    <row r="69" spans="1:30">
      <c r="A69" s="112"/>
      <c r="B69" s="96"/>
      <c r="C69" s="96" t="s">
        <v>173</v>
      </c>
      <c r="D69" s="96" t="s">
        <v>173</v>
      </c>
      <c r="E69" s="76" t="s">
        <v>173</v>
      </c>
      <c r="F69" s="30" t="s">
        <v>173</v>
      </c>
      <c r="G69" s="96" t="s">
        <v>173</v>
      </c>
      <c r="H69" s="76" t="s">
        <v>173</v>
      </c>
      <c r="I69" s="162"/>
      <c r="J69" s="162"/>
      <c r="K69" s="162"/>
      <c r="L69" s="162"/>
      <c r="M69" s="162"/>
      <c r="N69" s="162"/>
      <c r="O69" s="162"/>
      <c r="P69" s="162"/>
      <c r="Q69" s="162"/>
      <c r="R69" s="162"/>
      <c r="S69" s="162"/>
      <c r="T69" s="162"/>
      <c r="U69" s="162"/>
      <c r="V69" s="162"/>
      <c r="W69" s="162"/>
      <c r="X69" s="162"/>
      <c r="Y69" s="162"/>
    </row>
    <row r="70" spans="1:30" ht="13.5" thickBot="1">
      <c r="A70" s="1265"/>
      <c r="B70" s="1266"/>
      <c r="C70" s="44" t="s">
        <v>174</v>
      </c>
      <c r="D70" s="44" t="s">
        <v>175</v>
      </c>
      <c r="E70" s="114" t="s">
        <v>175</v>
      </c>
      <c r="F70" s="15" t="s">
        <v>174</v>
      </c>
      <c r="G70" s="44" t="s">
        <v>175</v>
      </c>
      <c r="H70" s="114" t="s">
        <v>175</v>
      </c>
      <c r="I70" s="162"/>
      <c r="J70" s="162"/>
      <c r="K70" s="162"/>
      <c r="L70" s="162"/>
      <c r="M70" s="162"/>
      <c r="N70" s="162"/>
      <c r="O70" s="162"/>
      <c r="P70" s="162"/>
      <c r="Q70" s="162"/>
      <c r="R70" s="162"/>
      <c r="S70" s="162"/>
      <c r="T70" s="162"/>
      <c r="U70" s="162"/>
      <c r="V70" s="162"/>
      <c r="W70" s="162"/>
      <c r="X70" s="162"/>
      <c r="Y70" s="162"/>
    </row>
    <row r="71" spans="1:30">
      <c r="A71" s="120" t="s">
        <v>166</v>
      </c>
      <c r="B71" s="121"/>
      <c r="C71" s="122">
        <f>SUMIF($D$27:$D$63,$A71,$J$27:$J$63)</f>
        <v>0</v>
      </c>
      <c r="D71" s="122">
        <f>SUMIF($D$27:$D$63,$A71,$K$27:$K$63)</f>
        <v>0</v>
      </c>
      <c r="E71" s="186">
        <f>SUMIF($D$27:$D$63,$A71,$L$27:$L$63)</f>
        <v>0</v>
      </c>
      <c r="F71" s="122">
        <f>SUMIF($D$27:$D$63,$A71,$P$27:$P$63)</f>
        <v>0</v>
      </c>
      <c r="G71" s="122">
        <f>SUMIF($D$27:$D$63,$A71,$Q$27:$Q$63)</f>
        <v>0</v>
      </c>
      <c r="H71" s="186">
        <f>SUMIF($D$27:$D$63,$A71,$R$27:$R$63)</f>
        <v>0</v>
      </c>
      <c r="I71" s="162"/>
      <c r="J71" s="162"/>
      <c r="K71" s="162"/>
      <c r="L71" s="162"/>
      <c r="M71" s="162"/>
      <c r="N71" s="162"/>
      <c r="O71" s="162"/>
      <c r="P71" s="162"/>
      <c r="Q71" s="162"/>
      <c r="R71" s="162"/>
      <c r="S71" s="162"/>
      <c r="T71" s="162"/>
      <c r="U71" s="162"/>
      <c r="V71" s="162"/>
      <c r="W71" s="162"/>
      <c r="X71" s="162"/>
      <c r="Y71" s="162"/>
    </row>
    <row r="72" spans="1:30">
      <c r="A72" s="115" t="s">
        <v>730</v>
      </c>
      <c r="B72" s="116"/>
      <c r="C72" s="117">
        <f t="shared" ref="C72:C83" si="8">SUMIF($D$27:$D$63,$A72,$J$27:$J$63)</f>
        <v>0</v>
      </c>
      <c r="D72" s="117">
        <f t="shared" ref="D72:D83" si="9">SUMIF($D$27:$D$63,$A72,$K$27:$K$63)</f>
        <v>0</v>
      </c>
      <c r="E72" s="187">
        <f t="shared" ref="E72:E83" si="10">SUMIF($D$27:$D$63,$A72,$L$27:$L$63)</f>
        <v>0</v>
      </c>
      <c r="F72" s="657">
        <f t="shared" ref="F72:F83" si="11">SUMIF($D$27:$D$63,$A72,$P$27:$P$63)</f>
        <v>0</v>
      </c>
      <c r="G72" s="117">
        <f t="shared" ref="G72:G83" si="12">SUMIF($D$27:$D$63,$A72,$Q$27:$Q$63)</f>
        <v>0</v>
      </c>
      <c r="H72" s="187">
        <f t="shared" ref="H72:H83" si="13">SUMIF($D$27:$D$63,$A72,$R$27:$R$63)</f>
        <v>0</v>
      </c>
      <c r="I72" s="162"/>
      <c r="J72" s="162"/>
      <c r="K72" s="162"/>
      <c r="L72" s="162"/>
      <c r="M72" s="162"/>
      <c r="N72" s="162"/>
      <c r="O72" s="162"/>
      <c r="P72" s="162"/>
      <c r="Q72" s="162"/>
      <c r="R72" s="162"/>
      <c r="S72" s="162"/>
      <c r="T72" s="162"/>
      <c r="U72" s="162"/>
      <c r="V72" s="162"/>
      <c r="W72" s="162"/>
      <c r="X72" s="162"/>
      <c r="Y72" s="162"/>
    </row>
    <row r="73" spans="1:30">
      <c r="A73" s="115" t="s">
        <v>731</v>
      </c>
      <c r="B73" s="116"/>
      <c r="C73" s="117">
        <f t="shared" si="8"/>
        <v>0</v>
      </c>
      <c r="D73" s="117">
        <f t="shared" si="9"/>
        <v>0</v>
      </c>
      <c r="E73" s="187">
        <f t="shared" si="10"/>
        <v>0</v>
      </c>
      <c r="F73" s="657">
        <f t="shared" si="11"/>
        <v>0</v>
      </c>
      <c r="G73" s="117">
        <f t="shared" si="12"/>
        <v>0</v>
      </c>
      <c r="H73" s="187">
        <f t="shared" si="13"/>
        <v>0</v>
      </c>
      <c r="I73" s="162"/>
      <c r="J73" s="162"/>
      <c r="K73" s="162"/>
      <c r="L73" s="162"/>
      <c r="M73" s="162"/>
      <c r="N73" s="162"/>
      <c r="O73" s="162"/>
      <c r="P73" s="162"/>
      <c r="Q73" s="162"/>
      <c r="R73" s="162"/>
      <c r="S73" s="162"/>
      <c r="T73" s="162"/>
      <c r="U73" s="162"/>
      <c r="V73" s="162"/>
      <c r="W73" s="162"/>
      <c r="X73" s="162"/>
      <c r="Y73" s="162"/>
    </row>
    <row r="74" spans="1:30">
      <c r="A74" s="115" t="s">
        <v>169</v>
      </c>
      <c r="B74" s="116"/>
      <c r="C74" s="117">
        <f t="shared" si="8"/>
        <v>0</v>
      </c>
      <c r="D74" s="117">
        <f t="shared" si="9"/>
        <v>0</v>
      </c>
      <c r="E74" s="187">
        <f t="shared" si="10"/>
        <v>0</v>
      </c>
      <c r="F74" s="657">
        <f t="shared" si="11"/>
        <v>0</v>
      </c>
      <c r="G74" s="117">
        <f t="shared" si="12"/>
        <v>0</v>
      </c>
      <c r="H74" s="187">
        <f t="shared" si="13"/>
        <v>0</v>
      </c>
      <c r="I74" s="162"/>
      <c r="J74" s="162"/>
      <c r="K74" s="162"/>
      <c r="L74" s="162"/>
      <c r="M74" s="162"/>
      <c r="N74" s="162"/>
      <c r="O74" s="162"/>
      <c r="P74" s="162"/>
      <c r="Q74" s="162"/>
      <c r="R74" s="162"/>
      <c r="S74" s="162"/>
      <c r="T74" s="162"/>
      <c r="U74" s="162"/>
      <c r="V74" s="162"/>
      <c r="W74" s="162"/>
      <c r="X74" s="162"/>
      <c r="Y74" s="162"/>
    </row>
    <row r="75" spans="1:30">
      <c r="A75" s="115" t="s">
        <v>733</v>
      </c>
      <c r="B75" s="116"/>
      <c r="C75" s="117">
        <f t="shared" si="8"/>
        <v>0</v>
      </c>
      <c r="D75" s="117">
        <f t="shared" si="9"/>
        <v>0</v>
      </c>
      <c r="E75" s="187">
        <f t="shared" si="10"/>
        <v>0</v>
      </c>
      <c r="F75" s="657">
        <f t="shared" si="11"/>
        <v>0</v>
      </c>
      <c r="G75" s="117">
        <f t="shared" si="12"/>
        <v>0</v>
      </c>
      <c r="H75" s="187">
        <f t="shared" si="13"/>
        <v>0</v>
      </c>
      <c r="I75" s="162"/>
      <c r="J75" s="162"/>
      <c r="K75" s="162"/>
      <c r="L75" s="162"/>
      <c r="M75" s="162"/>
      <c r="N75" s="162"/>
      <c r="O75" s="162"/>
      <c r="P75" s="162"/>
      <c r="Q75" s="162"/>
      <c r="R75" s="162"/>
      <c r="S75" s="162"/>
      <c r="T75" s="162"/>
      <c r="U75" s="162"/>
      <c r="V75" s="162"/>
      <c r="W75" s="162"/>
      <c r="X75" s="162"/>
      <c r="Y75" s="162"/>
    </row>
    <row r="76" spans="1:30">
      <c r="A76" s="115" t="s">
        <v>162</v>
      </c>
      <c r="B76" s="116"/>
      <c r="C76" s="117">
        <f t="shared" si="8"/>
        <v>0</v>
      </c>
      <c r="D76" s="117">
        <f t="shared" si="9"/>
        <v>0</v>
      </c>
      <c r="E76" s="187">
        <f t="shared" si="10"/>
        <v>0</v>
      </c>
      <c r="F76" s="657">
        <f t="shared" si="11"/>
        <v>0</v>
      </c>
      <c r="G76" s="117">
        <f t="shared" si="12"/>
        <v>0</v>
      </c>
      <c r="H76" s="187">
        <f t="shared" si="13"/>
        <v>0</v>
      </c>
      <c r="I76" s="162"/>
      <c r="J76" s="162"/>
      <c r="K76" s="162"/>
      <c r="L76" s="162"/>
      <c r="M76" s="162"/>
      <c r="N76" s="162"/>
      <c r="O76" s="162"/>
      <c r="P76" s="162"/>
      <c r="Q76" s="162"/>
      <c r="R76" s="162"/>
      <c r="S76" s="162"/>
      <c r="T76" s="162"/>
      <c r="U76" s="162"/>
      <c r="V76" s="162"/>
      <c r="W76" s="162"/>
      <c r="X76" s="162"/>
      <c r="Y76" s="162"/>
    </row>
    <row r="77" spans="1:30">
      <c r="A77" s="115" t="s">
        <v>163</v>
      </c>
      <c r="B77" s="116"/>
      <c r="C77" s="117">
        <f>SUMIF($D$27:$D$63,$A77,$J$27:$J$63)</f>
        <v>0</v>
      </c>
      <c r="D77" s="117">
        <f t="shared" si="9"/>
        <v>0</v>
      </c>
      <c r="E77" s="187">
        <f t="shared" si="10"/>
        <v>0</v>
      </c>
      <c r="F77" s="657">
        <f t="shared" si="11"/>
        <v>0</v>
      </c>
      <c r="G77" s="117">
        <f t="shared" si="12"/>
        <v>0</v>
      </c>
      <c r="H77" s="187">
        <f t="shared" si="13"/>
        <v>0</v>
      </c>
      <c r="I77" s="162"/>
      <c r="J77" s="162"/>
      <c r="K77" s="162"/>
      <c r="L77" s="162"/>
      <c r="M77" s="162"/>
      <c r="N77" s="162"/>
      <c r="O77" s="162"/>
      <c r="P77" s="162"/>
      <c r="Q77" s="162"/>
      <c r="R77" s="162"/>
      <c r="S77" s="162"/>
      <c r="T77" s="162"/>
      <c r="U77" s="162"/>
      <c r="V77" s="162"/>
      <c r="W77" s="162"/>
      <c r="X77" s="162"/>
      <c r="Y77" s="162"/>
    </row>
    <row r="78" spans="1:30">
      <c r="A78" s="115" t="s">
        <v>164</v>
      </c>
      <c r="B78" s="116"/>
      <c r="C78" s="117">
        <f t="shared" si="8"/>
        <v>0</v>
      </c>
      <c r="D78" s="117">
        <f t="shared" si="9"/>
        <v>0</v>
      </c>
      <c r="E78" s="187">
        <f t="shared" si="10"/>
        <v>0</v>
      </c>
      <c r="F78" s="657">
        <f t="shared" si="11"/>
        <v>0</v>
      </c>
      <c r="G78" s="117">
        <f t="shared" si="12"/>
        <v>0</v>
      </c>
      <c r="H78" s="187">
        <f t="shared" si="13"/>
        <v>0</v>
      </c>
      <c r="I78" s="162"/>
      <c r="J78" s="162"/>
      <c r="K78" s="162"/>
      <c r="L78" s="162"/>
      <c r="M78" s="162"/>
      <c r="N78" s="162"/>
      <c r="O78" s="162"/>
      <c r="P78" s="162"/>
      <c r="Q78" s="162"/>
      <c r="R78" s="162"/>
      <c r="S78" s="162"/>
      <c r="T78" s="162"/>
      <c r="U78" s="162"/>
      <c r="V78" s="162"/>
      <c r="W78" s="162"/>
      <c r="X78" s="162"/>
      <c r="Y78" s="162"/>
    </row>
    <row r="79" spans="1:30">
      <c r="A79" s="115" t="s">
        <v>165</v>
      </c>
      <c r="B79" s="116"/>
      <c r="C79" s="117">
        <f t="shared" si="8"/>
        <v>0</v>
      </c>
      <c r="D79" s="117">
        <f t="shared" si="9"/>
        <v>0</v>
      </c>
      <c r="E79" s="187">
        <f t="shared" si="10"/>
        <v>0</v>
      </c>
      <c r="F79" s="657">
        <f t="shared" si="11"/>
        <v>0</v>
      </c>
      <c r="G79" s="117">
        <f t="shared" si="12"/>
        <v>0</v>
      </c>
      <c r="H79" s="187">
        <f t="shared" si="13"/>
        <v>0</v>
      </c>
      <c r="I79" s="162"/>
      <c r="J79" s="162"/>
      <c r="K79" s="162"/>
      <c r="L79" s="162"/>
      <c r="M79" s="162"/>
      <c r="N79" s="162"/>
      <c r="O79" s="162"/>
      <c r="P79" s="162"/>
      <c r="Q79" s="162"/>
      <c r="R79" s="162"/>
      <c r="S79" s="162"/>
      <c r="T79" s="162"/>
      <c r="U79" s="162"/>
      <c r="V79" s="162"/>
      <c r="W79" s="162"/>
      <c r="X79" s="162"/>
      <c r="Y79" s="162"/>
    </row>
    <row r="80" spans="1:30">
      <c r="A80" s="115" t="s">
        <v>728</v>
      </c>
      <c r="B80" s="116"/>
      <c r="C80" s="117">
        <f t="shared" si="8"/>
        <v>0</v>
      </c>
      <c r="D80" s="117">
        <f t="shared" si="9"/>
        <v>0</v>
      </c>
      <c r="E80" s="187">
        <f t="shared" si="10"/>
        <v>0</v>
      </c>
      <c r="F80" s="657">
        <f t="shared" si="11"/>
        <v>0</v>
      </c>
      <c r="G80" s="117">
        <f t="shared" si="12"/>
        <v>0</v>
      </c>
      <c r="H80" s="187">
        <f t="shared" si="13"/>
        <v>0</v>
      </c>
      <c r="I80" s="162"/>
      <c r="J80" s="162"/>
      <c r="K80" s="162"/>
      <c r="L80" s="162"/>
      <c r="M80" s="162"/>
      <c r="N80" s="162"/>
      <c r="O80" s="162"/>
      <c r="P80" s="162"/>
      <c r="Q80" s="162"/>
      <c r="R80" s="162"/>
      <c r="S80" s="162"/>
      <c r="T80" s="162"/>
      <c r="U80" s="162"/>
      <c r="V80" s="162"/>
      <c r="W80" s="162"/>
      <c r="X80" s="162"/>
      <c r="Y80" s="162"/>
    </row>
    <row r="81" spans="1:30">
      <c r="A81" s="115" t="s">
        <v>729</v>
      </c>
      <c r="B81" s="116"/>
      <c r="C81" s="117">
        <f t="shared" si="8"/>
        <v>0</v>
      </c>
      <c r="D81" s="117">
        <f t="shared" si="9"/>
        <v>0</v>
      </c>
      <c r="E81" s="187">
        <f t="shared" si="10"/>
        <v>0</v>
      </c>
      <c r="F81" s="657">
        <f t="shared" si="11"/>
        <v>0</v>
      </c>
      <c r="G81" s="117">
        <f t="shared" si="12"/>
        <v>0</v>
      </c>
      <c r="H81" s="187">
        <f t="shared" si="13"/>
        <v>0</v>
      </c>
      <c r="I81" s="162"/>
      <c r="J81" s="162"/>
      <c r="K81" s="162"/>
      <c r="L81" s="162"/>
      <c r="M81" s="162"/>
      <c r="N81" s="162"/>
      <c r="O81" s="162"/>
      <c r="P81" s="162"/>
      <c r="Q81" s="162"/>
      <c r="R81" s="162"/>
      <c r="S81" s="162"/>
      <c r="T81" s="162"/>
      <c r="U81" s="162"/>
      <c r="V81" s="162"/>
      <c r="W81" s="162"/>
      <c r="X81" s="162"/>
      <c r="Y81" s="162"/>
    </row>
    <row r="82" spans="1:30">
      <c r="A82" s="115" t="s">
        <v>732</v>
      </c>
      <c r="B82" s="116"/>
      <c r="C82" s="117">
        <f t="shared" si="8"/>
        <v>0</v>
      </c>
      <c r="D82" s="117">
        <f t="shared" si="9"/>
        <v>0</v>
      </c>
      <c r="E82" s="187">
        <f t="shared" si="10"/>
        <v>0</v>
      </c>
      <c r="F82" s="657">
        <f t="shared" si="11"/>
        <v>0</v>
      </c>
      <c r="G82" s="117">
        <f t="shared" si="12"/>
        <v>0</v>
      </c>
      <c r="H82" s="187">
        <f t="shared" si="13"/>
        <v>0</v>
      </c>
      <c r="I82" s="162"/>
      <c r="J82" s="162"/>
      <c r="K82" s="162"/>
      <c r="L82" s="162"/>
      <c r="M82" s="162"/>
      <c r="N82" s="162"/>
      <c r="O82" s="162"/>
      <c r="P82" s="162"/>
      <c r="Q82" s="162"/>
      <c r="R82" s="162"/>
      <c r="S82" s="162"/>
      <c r="T82" s="162"/>
      <c r="U82" s="162"/>
      <c r="V82" s="162"/>
      <c r="W82" s="162"/>
      <c r="X82" s="162"/>
      <c r="Y82" s="162"/>
    </row>
    <row r="83" spans="1:30" ht="13.5" thickBot="1">
      <c r="A83" s="115" t="s">
        <v>734</v>
      </c>
      <c r="B83" s="116"/>
      <c r="C83" s="117">
        <f t="shared" si="8"/>
        <v>0</v>
      </c>
      <c r="D83" s="117">
        <f t="shared" si="9"/>
        <v>0</v>
      </c>
      <c r="E83" s="187">
        <f t="shared" si="10"/>
        <v>0</v>
      </c>
      <c r="F83" s="657">
        <f t="shared" si="11"/>
        <v>0</v>
      </c>
      <c r="G83" s="117">
        <f t="shared" si="12"/>
        <v>0</v>
      </c>
      <c r="H83" s="187">
        <f t="shared" si="13"/>
        <v>0</v>
      </c>
      <c r="I83" s="162"/>
      <c r="J83" s="162"/>
      <c r="K83" s="162"/>
      <c r="L83" s="162"/>
      <c r="M83" s="162"/>
      <c r="N83" s="162"/>
      <c r="O83" s="162"/>
      <c r="P83" s="162"/>
      <c r="Q83" s="162"/>
      <c r="R83" s="162"/>
      <c r="S83" s="162"/>
      <c r="T83" s="162"/>
      <c r="U83" s="162"/>
      <c r="V83" s="162"/>
      <c r="W83" s="162"/>
      <c r="X83" s="162"/>
      <c r="Y83" s="162"/>
    </row>
    <row r="84" spans="1:30" ht="13.5" thickBot="1">
      <c r="A84" s="803" t="s">
        <v>76</v>
      </c>
      <c r="B84" s="119"/>
      <c r="C84" s="584">
        <f t="shared" ref="C84:H84" si="14">SUM(C71:C83)</f>
        <v>0</v>
      </c>
      <c r="D84" s="584">
        <f t="shared" si="14"/>
        <v>0</v>
      </c>
      <c r="E84" s="585">
        <f t="shared" si="14"/>
        <v>0</v>
      </c>
      <c r="F84" s="582">
        <f t="shared" si="14"/>
        <v>0</v>
      </c>
      <c r="G84" s="582">
        <f t="shared" si="14"/>
        <v>0</v>
      </c>
      <c r="H84" s="583">
        <f t="shared" si="14"/>
        <v>0</v>
      </c>
      <c r="I84" s="162"/>
      <c r="J84" s="162"/>
      <c r="K84" s="162"/>
      <c r="L84" s="162"/>
      <c r="M84" s="162"/>
      <c r="N84" s="162"/>
      <c r="O84" s="162"/>
      <c r="P84" s="162"/>
      <c r="Q84" s="162"/>
      <c r="R84" s="162"/>
      <c r="S84" s="162"/>
      <c r="T84" s="162"/>
      <c r="U84" s="162"/>
      <c r="V84" s="162"/>
      <c r="W84" s="162"/>
      <c r="X84" s="162"/>
      <c r="Y84" s="162"/>
    </row>
    <row r="85" spans="1:30" ht="13.5" thickBot="1">
      <c r="A85" s="4"/>
      <c r="B85" s="4"/>
      <c r="C85" s="4"/>
      <c r="D85" s="4"/>
      <c r="E85" s="4"/>
      <c r="F85" s="4"/>
      <c r="G85" s="4"/>
      <c r="H85" s="4"/>
      <c r="I85" s="162"/>
      <c r="J85" s="162"/>
      <c r="K85" s="162"/>
      <c r="L85" s="162"/>
      <c r="M85" s="162"/>
      <c r="N85" s="162"/>
      <c r="O85" s="162"/>
      <c r="P85" s="162"/>
      <c r="Q85" s="162"/>
      <c r="R85" s="162"/>
      <c r="S85" s="162"/>
      <c r="T85" s="162"/>
      <c r="U85" s="162"/>
      <c r="V85" s="162"/>
      <c r="W85" s="162"/>
      <c r="X85" s="162"/>
      <c r="Y85" s="162"/>
      <c r="Z85" s="162"/>
      <c r="AA85" s="162"/>
      <c r="AB85" s="162"/>
      <c r="AC85" s="162"/>
      <c r="AD85" s="162"/>
    </row>
    <row r="86" spans="1:30" ht="15" thickBot="1">
      <c r="A86" s="564" t="s">
        <v>810</v>
      </c>
      <c r="B86" s="565"/>
      <c r="C86" s="565"/>
      <c r="D86" s="565"/>
      <c r="E86" s="565"/>
      <c r="F86" s="586"/>
      <c r="G86" s="4"/>
      <c r="H86" s="4"/>
      <c r="I86" s="162"/>
      <c r="J86" s="162"/>
      <c r="K86" s="162"/>
      <c r="L86" s="162"/>
      <c r="M86" s="162"/>
      <c r="N86" s="162"/>
      <c r="O86" s="162"/>
      <c r="P86" s="162"/>
      <c r="Q86" s="162"/>
      <c r="R86" s="162"/>
      <c r="S86" s="162"/>
      <c r="T86" s="162"/>
      <c r="U86" s="162"/>
      <c r="V86" s="162"/>
      <c r="W86" s="162"/>
      <c r="X86" s="162"/>
      <c r="Y86" s="162"/>
      <c r="Z86" s="162"/>
      <c r="AA86" s="162"/>
      <c r="AB86" s="162"/>
      <c r="AC86" s="162"/>
      <c r="AD86" s="162"/>
    </row>
    <row r="87" spans="1:30" ht="13.5" thickTop="1">
      <c r="A87" s="567" t="s">
        <v>811</v>
      </c>
      <c r="B87" s="562"/>
      <c r="C87" s="562"/>
      <c r="D87" s="562"/>
      <c r="E87" s="221"/>
      <c r="F87" s="575">
        <f>($C$84+$D$84*CH4_GWP/1000+$E$84*N2O_GWP/1000)/1000</f>
        <v>0</v>
      </c>
      <c r="G87" s="4"/>
      <c r="H87" s="4"/>
      <c r="I87" s="227"/>
      <c r="J87" s="227"/>
      <c r="K87" s="227"/>
      <c r="L87" s="227"/>
      <c r="M87" s="162"/>
      <c r="N87" s="162"/>
      <c r="O87" s="162"/>
      <c r="P87" s="162"/>
      <c r="Q87" s="162"/>
      <c r="R87" s="162"/>
      <c r="S87" s="162"/>
      <c r="T87" s="162"/>
      <c r="U87" s="162"/>
      <c r="V87" s="162"/>
      <c r="W87" s="162"/>
      <c r="X87" s="162"/>
      <c r="Y87" s="162"/>
      <c r="Z87" s="162"/>
      <c r="AA87" s="162"/>
      <c r="AB87" s="162"/>
      <c r="AC87" s="162"/>
      <c r="AD87" s="162"/>
    </row>
    <row r="88" spans="1:30" ht="13.5" thickBot="1">
      <c r="A88" s="568" t="s">
        <v>812</v>
      </c>
      <c r="B88" s="563"/>
      <c r="C88" s="563"/>
      <c r="D88" s="563"/>
      <c r="E88" s="220"/>
      <c r="F88" s="576">
        <f>($F$84+$G$84*CH4_GWP/1000+$H$84*N2O_GWP/1000)/1000</f>
        <v>0</v>
      </c>
      <c r="G88" s="4"/>
      <c r="H88" s="4"/>
      <c r="I88" s="162"/>
      <c r="J88" s="162"/>
      <c r="K88" s="162"/>
      <c r="L88" s="162"/>
      <c r="M88" s="162"/>
      <c r="N88" s="162"/>
      <c r="O88" s="162"/>
      <c r="P88" s="162"/>
      <c r="Q88" s="162"/>
      <c r="R88" s="162"/>
      <c r="S88" s="162"/>
      <c r="T88" s="162"/>
      <c r="U88" s="162"/>
      <c r="V88" s="162"/>
      <c r="W88" s="162"/>
      <c r="X88" s="162"/>
      <c r="Y88" s="162"/>
      <c r="Z88" s="162"/>
      <c r="AA88" s="162"/>
      <c r="AB88" s="162"/>
      <c r="AC88" s="162"/>
      <c r="AD88" s="162"/>
    </row>
    <row r="89" spans="1:30">
      <c r="A89" s="4"/>
      <c r="B89" s="4"/>
      <c r="C89" s="4"/>
      <c r="D89" s="4"/>
      <c r="E89" s="4"/>
      <c r="F89" s="4"/>
      <c r="G89" s="4"/>
      <c r="H89" s="4"/>
      <c r="I89" s="227"/>
      <c r="J89" s="227"/>
      <c r="K89" s="227"/>
      <c r="L89" s="227"/>
      <c r="M89" s="162"/>
      <c r="N89" s="162"/>
      <c r="O89" s="162"/>
      <c r="P89" s="162"/>
      <c r="Q89" s="162"/>
      <c r="R89" s="162"/>
      <c r="S89" s="162"/>
      <c r="T89" s="162"/>
      <c r="U89" s="162"/>
      <c r="V89" s="162"/>
      <c r="W89" s="162"/>
      <c r="X89" s="162"/>
      <c r="Y89" s="162"/>
      <c r="Z89" s="162"/>
      <c r="AA89" s="162"/>
      <c r="AB89" s="162"/>
      <c r="AC89" s="162"/>
      <c r="AD89" s="162"/>
    </row>
    <row r="90" spans="1:30">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row>
    <row r="91" spans="1:30">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row>
    <row r="92" spans="1:30">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row>
    <row r="93" spans="1:30">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row>
    <row r="94" spans="1:30">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row>
    <row r="95" spans="1:30">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row>
    <row r="96" spans="1:30">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row>
    <row r="97" spans="1:30">
      <c r="A97" s="337"/>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row>
    <row r="98" spans="1:30" s="3" customFormat="1">
      <c r="A98" s="183"/>
      <c r="B98" s="183"/>
      <c r="C98" s="183"/>
      <c r="D98" s="183"/>
      <c r="E98" s="183"/>
      <c r="F98" s="183"/>
      <c r="G98" s="183"/>
      <c r="H98" s="183"/>
      <c r="I98" s="183"/>
      <c r="J98" s="183"/>
      <c r="K98" s="183"/>
      <c r="L98" s="183"/>
      <c r="M98" s="183"/>
      <c r="N98" s="183"/>
      <c r="O98" s="183"/>
      <c r="P98" s="183"/>
      <c r="Q98" s="183"/>
      <c r="R98" s="183"/>
      <c r="S98" s="183"/>
      <c r="T98" s="183"/>
      <c r="U98" s="183"/>
      <c r="V98" s="183"/>
      <c r="W98" s="183"/>
      <c r="X98" s="183"/>
      <c r="Y98" s="183"/>
      <c r="Z98" s="183"/>
      <c r="AA98" s="183"/>
      <c r="AB98" s="183"/>
      <c r="AC98" s="183"/>
      <c r="AD98" s="183"/>
    </row>
    <row r="99" spans="1:30" s="3" customFormat="1">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row>
    <row r="100" spans="1:30" s="3" customFormat="1">
      <c r="A100" s="183"/>
      <c r="B100" s="183"/>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row>
    <row r="101" spans="1:30">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row>
    <row r="102" spans="1:30">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row>
    <row r="103" spans="1:30">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row>
    <row r="104" spans="1:30">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row>
    <row r="105" spans="1:30">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row>
    <row r="106" spans="1:30">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row>
    <row r="107" spans="1:30">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row>
    <row r="108" spans="1:30">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row>
    <row r="109" spans="1:30">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row>
    <row r="110" spans="1:30">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row>
    <row r="111" spans="1:30">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row>
    <row r="112" spans="1:30">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row>
    <row r="113" spans="1:30">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row>
    <row r="114" spans="1:30">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row>
    <row r="115" spans="1:30">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row>
    <row r="116" spans="1:30">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row>
    <row r="117" spans="1:30">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row>
    <row r="118" spans="1:30">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row>
    <row r="119" spans="1:30">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row>
    <row r="120" spans="1:30">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row>
    <row r="121" spans="1:30">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row>
    <row r="122" spans="1:30">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row>
    <row r="123" spans="1:30">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row>
    <row r="124" spans="1:30">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row>
    <row r="125" spans="1:30">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row>
    <row r="126" spans="1:30">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row>
    <row r="127" spans="1:30">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row>
    <row r="128" spans="1:30">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row>
    <row r="129" spans="1:30">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row>
    <row r="130" spans="1:30">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row>
    <row r="131" spans="1:30">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row>
    <row r="132" spans="1:30">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row>
    <row r="133" spans="1:30">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row>
    <row r="134" spans="1:30">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row>
    <row r="135" spans="1:30">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row>
    <row r="136" spans="1:30">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row>
    <row r="137" spans="1:30">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row>
    <row r="138" spans="1:30">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row>
    <row r="139" spans="1:30">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row>
    <row r="140" spans="1:30">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row>
    <row r="141" spans="1:30">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row>
    <row r="142" spans="1:30">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row>
    <row r="143" spans="1:30">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row>
    <row r="144" spans="1:30">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row>
    <row r="145" spans="1:30">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row>
    <row r="146" spans="1:30">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row>
    <row r="147" spans="1:30">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row>
    <row r="148" spans="1:30">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row>
    <row r="149" spans="1:30">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row>
    <row r="150" spans="1:30">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row>
    <row r="151" spans="1:30">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row>
    <row r="152" spans="1:30">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row>
    <row r="153" spans="1:30">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row>
    <row r="154" spans="1:30">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row>
    <row r="155" spans="1:30">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row>
    <row r="156" spans="1:30">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row>
    <row r="157" spans="1:30">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row>
    <row r="158" spans="1:30">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row>
    <row r="159" spans="1:30">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row>
    <row r="160" spans="1:30">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row>
    <row r="161" spans="1:30">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row>
    <row r="162" spans="1:30">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row>
    <row r="163" spans="1:30">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row>
    <row r="164" spans="1:30">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row>
    <row r="165" spans="1:30">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row>
    <row r="166" spans="1:30">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row>
    <row r="167" spans="1:30">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row>
    <row r="168" spans="1:30">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row>
    <row r="169" spans="1:30">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row>
    <row r="170" spans="1:30">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row>
    <row r="171" spans="1:30">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row>
  </sheetData>
  <mergeCells count="16">
    <mergeCell ref="F67:H67"/>
    <mergeCell ref="A70:B70"/>
    <mergeCell ref="B16:I16"/>
    <mergeCell ref="A68:B68"/>
    <mergeCell ref="A22:A24"/>
    <mergeCell ref="B22:B24"/>
    <mergeCell ref="C67:E67"/>
    <mergeCell ref="P21:R21"/>
    <mergeCell ref="M20:R20"/>
    <mergeCell ref="A11:H11"/>
    <mergeCell ref="D22:D24"/>
    <mergeCell ref="C22:C24"/>
    <mergeCell ref="M21:O21"/>
    <mergeCell ref="G21:I21"/>
    <mergeCell ref="J21:L21"/>
    <mergeCell ref="G20:L20"/>
  </mergeCells>
  <phoneticPr fontId="11" type="noConversion"/>
  <dataValidations count="1">
    <dataValidation type="list" allowBlank="1" showInputMessage="1" showErrorMessage="1" sqref="D25:D63" xr:uid="{00000000-0002-0000-0A00-000000000000}">
      <formula1>Steam_Fuel_Type</formula1>
    </dataValidation>
  </dataValidations>
  <pageMargins left="0.25" right="0.25" top="0.25" bottom="0.5" header="0.5" footer="0.25"/>
  <pageSetup scale="59" orientation="portrait" r:id="rId1"/>
  <headerFooter alignWithMargins="0">
    <oddFooter>&amp;L&amp;"Arial,Italic"&amp;9EPA Climate Leaders Simplified GHG Emissions Calculator (Indirect 2.0)&amp;R&amp;"Arial,Italic"&amp;9&amp;P of &amp;N</oddFooter>
  </headerFooter>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D305"/>
  <sheetViews>
    <sheetView topLeftCell="A237" zoomScale="106" zoomScaleNormal="80" workbookViewId="0">
      <selection activeCell="D213" sqref="D213"/>
    </sheetView>
  </sheetViews>
  <sheetFormatPr defaultColWidth="8.85546875" defaultRowHeight="12.75"/>
  <cols>
    <col min="1" max="1" width="13.140625" customWidth="1"/>
    <col min="2" max="2" width="24" customWidth="1"/>
    <col min="3" max="3" width="38" customWidth="1"/>
    <col min="4" max="4" width="11.85546875" customWidth="1"/>
    <col min="5" max="6" width="10.85546875" customWidth="1"/>
    <col min="7" max="7" width="11.42578125" bestFit="1" customWidth="1"/>
    <col min="8" max="11" width="9.140625" customWidth="1"/>
    <col min="12" max="13" width="9.140625" style="124" customWidth="1"/>
  </cols>
  <sheetData>
    <row r="1" spans="1:30"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row>
    <row r="2" spans="1:30"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row>
    <row r="3" spans="1:30" ht="15">
      <c r="A3" s="5" t="s">
        <v>804</v>
      </c>
      <c r="B3" s="4"/>
      <c r="C3" s="4"/>
      <c r="D3" s="4"/>
      <c r="E3" s="4"/>
      <c r="F3" s="4"/>
      <c r="G3" s="4"/>
      <c r="H3" s="162"/>
      <c r="I3" s="162"/>
      <c r="J3" s="162"/>
      <c r="K3" s="162"/>
      <c r="L3" s="163"/>
      <c r="M3" s="163"/>
      <c r="N3" s="162"/>
      <c r="O3" s="162"/>
      <c r="P3" s="162"/>
      <c r="Q3" s="162"/>
      <c r="R3" s="162"/>
      <c r="S3" s="162"/>
      <c r="T3" s="162"/>
      <c r="U3" s="162"/>
      <c r="V3" s="162"/>
      <c r="W3" s="162"/>
      <c r="X3" s="162"/>
      <c r="Y3" s="162"/>
      <c r="Z3" s="162"/>
      <c r="AA3" s="162"/>
      <c r="AB3" s="162"/>
      <c r="AC3" s="162"/>
      <c r="AD3" s="162"/>
    </row>
    <row r="4" spans="1:30">
      <c r="A4" s="4"/>
      <c r="B4" s="4"/>
      <c r="C4" s="4"/>
      <c r="D4" s="4"/>
      <c r="E4" s="4"/>
      <c r="F4" s="4"/>
      <c r="G4" s="4"/>
      <c r="H4" s="162"/>
      <c r="I4" s="162"/>
      <c r="J4" s="162"/>
      <c r="K4" s="162"/>
      <c r="L4" s="163"/>
      <c r="M4" s="163"/>
      <c r="N4" s="162"/>
      <c r="O4" s="162"/>
      <c r="P4" s="162"/>
      <c r="Q4" s="162"/>
      <c r="R4" s="162"/>
      <c r="S4" s="162"/>
      <c r="T4" s="162"/>
      <c r="U4" s="162"/>
      <c r="V4" s="162"/>
      <c r="W4" s="162"/>
      <c r="X4" s="162"/>
      <c r="Y4" s="162"/>
      <c r="Z4" s="162"/>
      <c r="AA4" s="162"/>
      <c r="AB4" s="162"/>
      <c r="AC4" s="162"/>
      <c r="AD4" s="162"/>
    </row>
    <row r="5" spans="1:30">
      <c r="A5" s="161" t="s">
        <v>293</v>
      </c>
      <c r="B5" s="162"/>
      <c r="C5" s="162"/>
      <c r="D5" s="162"/>
      <c r="E5" s="162"/>
      <c r="F5" s="162"/>
      <c r="G5" s="162"/>
      <c r="H5" s="162"/>
      <c r="I5" s="162"/>
      <c r="J5" s="162"/>
      <c r="K5" s="162"/>
      <c r="L5" s="162"/>
      <c r="M5" s="163"/>
      <c r="N5" s="163"/>
      <c r="O5" s="162"/>
      <c r="P5" s="162"/>
      <c r="Q5" s="162"/>
      <c r="R5" s="162"/>
      <c r="S5" s="162"/>
      <c r="T5" s="162"/>
      <c r="U5" s="162"/>
      <c r="V5" s="162"/>
      <c r="W5" s="162"/>
      <c r="X5" s="162"/>
      <c r="Y5" s="162"/>
      <c r="Z5" s="162"/>
      <c r="AA5" s="162"/>
      <c r="AB5" s="162"/>
      <c r="AC5" s="162"/>
      <c r="AD5" s="162"/>
    </row>
    <row r="6" spans="1:30">
      <c r="A6" s="219" t="s">
        <v>686</v>
      </c>
      <c r="B6" s="162"/>
      <c r="C6" s="162"/>
      <c r="D6" s="162"/>
      <c r="E6" s="162"/>
      <c r="F6" s="162"/>
      <c r="G6" s="162"/>
      <c r="H6" s="162"/>
      <c r="I6" s="162"/>
      <c r="J6" s="162"/>
      <c r="K6" s="162"/>
      <c r="L6" s="162"/>
      <c r="M6" s="163"/>
      <c r="N6" s="163"/>
      <c r="O6" s="162"/>
      <c r="P6" s="162"/>
      <c r="Q6" s="162"/>
      <c r="R6" s="162"/>
      <c r="S6" s="162"/>
      <c r="T6" s="162"/>
      <c r="U6" s="162"/>
      <c r="V6" s="162"/>
      <c r="W6" s="162"/>
      <c r="X6" s="162"/>
      <c r="Y6" s="162"/>
      <c r="Z6" s="162"/>
      <c r="AA6" s="162"/>
      <c r="AB6" s="162"/>
      <c r="AC6" s="162"/>
      <c r="AD6" s="162"/>
    </row>
    <row r="7" spans="1:30">
      <c r="A7" s="219" t="s">
        <v>575</v>
      </c>
      <c r="B7" s="4"/>
      <c r="C7" s="4"/>
      <c r="D7" s="4"/>
      <c r="E7" s="4"/>
      <c r="F7" s="4"/>
      <c r="G7" s="4"/>
      <c r="H7" s="162"/>
      <c r="I7" s="162"/>
      <c r="J7" s="162"/>
      <c r="K7" s="162"/>
      <c r="L7" s="163"/>
      <c r="M7" s="163"/>
      <c r="N7" s="162"/>
      <c r="O7" s="162"/>
      <c r="P7" s="162"/>
      <c r="Q7" s="162"/>
      <c r="R7" s="162"/>
      <c r="S7" s="162"/>
      <c r="T7" s="162"/>
      <c r="U7" s="162"/>
      <c r="V7" s="162"/>
      <c r="W7" s="162"/>
      <c r="X7" s="162"/>
      <c r="Y7" s="162"/>
      <c r="Z7" s="162"/>
      <c r="AA7" s="162"/>
      <c r="AB7" s="162"/>
      <c r="AC7" s="162"/>
      <c r="AD7" s="162"/>
    </row>
    <row r="8" spans="1:30">
      <c r="A8" s="219" t="s">
        <v>574</v>
      </c>
      <c r="B8" s="4"/>
      <c r="C8" s="4"/>
      <c r="D8" s="4"/>
      <c r="E8" s="4"/>
      <c r="F8" s="4"/>
      <c r="G8" s="4"/>
      <c r="H8" s="162"/>
      <c r="I8" s="162"/>
      <c r="J8" s="162"/>
      <c r="K8" s="162"/>
      <c r="L8" s="163"/>
      <c r="M8" s="163"/>
      <c r="N8" s="162"/>
      <c r="O8" s="162"/>
      <c r="P8" s="162"/>
      <c r="Q8" s="162"/>
      <c r="R8" s="162"/>
      <c r="S8" s="162"/>
      <c r="T8" s="162"/>
      <c r="U8" s="162"/>
      <c r="V8" s="162"/>
      <c r="W8" s="162"/>
      <c r="X8" s="162"/>
      <c r="Y8" s="162"/>
      <c r="Z8" s="162"/>
      <c r="AA8" s="162"/>
      <c r="AB8" s="162"/>
      <c r="AC8" s="162"/>
      <c r="AD8" s="162"/>
    </row>
    <row r="9" spans="1:30">
      <c r="A9" s="219" t="s">
        <v>573</v>
      </c>
      <c r="B9" s="4"/>
      <c r="C9" s="4"/>
      <c r="D9" s="4"/>
      <c r="E9" s="4"/>
      <c r="F9" s="162"/>
      <c r="G9" s="4"/>
      <c r="H9" s="162"/>
      <c r="I9" s="162"/>
      <c r="J9" s="162"/>
      <c r="K9" s="162"/>
      <c r="L9" s="163"/>
      <c r="M9" s="163"/>
      <c r="N9" s="162"/>
      <c r="O9" s="162"/>
      <c r="P9" s="162"/>
      <c r="Q9" s="162"/>
      <c r="R9" s="162"/>
      <c r="S9" s="162"/>
      <c r="T9" s="162"/>
      <c r="U9" s="162"/>
      <c r="V9" s="162"/>
      <c r="W9" s="162"/>
      <c r="X9" s="162"/>
      <c r="Y9" s="162"/>
      <c r="Z9" s="162"/>
      <c r="AA9" s="162"/>
      <c r="AB9" s="162"/>
      <c r="AC9" s="162"/>
      <c r="AD9" s="162"/>
    </row>
    <row r="10" spans="1:30">
      <c r="A10" s="831" t="s">
        <v>1261</v>
      </c>
      <c r="B10" s="4"/>
      <c r="C10" s="4"/>
      <c r="D10" s="4"/>
      <c r="E10" s="4"/>
      <c r="F10" s="162"/>
      <c r="G10" s="4"/>
      <c r="H10" s="162"/>
      <c r="I10" s="162"/>
      <c r="J10" s="162"/>
      <c r="K10" s="162"/>
      <c r="L10" s="163"/>
      <c r="M10" s="163"/>
      <c r="N10" s="162"/>
      <c r="O10" s="162"/>
      <c r="P10" s="162"/>
      <c r="Q10" s="162"/>
      <c r="R10" s="162"/>
      <c r="S10" s="162"/>
      <c r="T10" s="162"/>
      <c r="U10" s="162"/>
      <c r="V10" s="162"/>
      <c r="W10" s="162"/>
      <c r="X10" s="162"/>
      <c r="Y10" s="162"/>
      <c r="Z10" s="162"/>
      <c r="AA10" s="162"/>
      <c r="AB10" s="162"/>
      <c r="AC10" s="162"/>
      <c r="AD10" s="162"/>
    </row>
    <row r="11" spans="1:30">
      <c r="A11" s="831" t="s">
        <v>1273</v>
      </c>
      <c r="B11" s="4"/>
      <c r="C11" s="4"/>
      <c r="D11" s="4"/>
      <c r="E11" s="4"/>
      <c r="F11" s="162"/>
      <c r="G11" s="4"/>
      <c r="H11" s="162"/>
      <c r="I11" s="162"/>
      <c r="J11" s="162"/>
      <c r="K11" s="162"/>
      <c r="L11" s="163"/>
      <c r="M11" s="163"/>
      <c r="N11" s="162"/>
      <c r="O11" s="162"/>
      <c r="P11" s="162"/>
      <c r="Q11" s="162"/>
      <c r="R11" s="162"/>
      <c r="S11" s="162"/>
      <c r="T11" s="162"/>
      <c r="U11" s="162"/>
      <c r="V11" s="162"/>
      <c r="W11" s="162"/>
      <c r="X11" s="162"/>
      <c r="Y11" s="162"/>
      <c r="Z11" s="162"/>
      <c r="AA11" s="162"/>
      <c r="AB11" s="162"/>
      <c r="AC11" s="162"/>
      <c r="AD11" s="162"/>
    </row>
    <row r="12" spans="1:30" ht="12.95" customHeight="1">
      <c r="A12" s="1236" t="s">
        <v>1348</v>
      </c>
      <c r="B12" s="1236"/>
      <c r="C12" s="1236"/>
      <c r="D12" s="1236"/>
      <c r="E12" s="1236"/>
      <c r="F12" s="1236"/>
      <c r="G12" s="4"/>
      <c r="H12" s="162"/>
      <c r="I12" s="162"/>
      <c r="J12" s="162"/>
      <c r="K12" s="162"/>
      <c r="L12" s="163"/>
      <c r="M12" s="163"/>
      <c r="N12" s="162"/>
      <c r="O12" s="162"/>
      <c r="P12" s="162"/>
      <c r="Q12" s="162"/>
      <c r="R12" s="162"/>
      <c r="S12" s="162"/>
      <c r="T12" s="162"/>
      <c r="U12" s="162"/>
      <c r="V12" s="162"/>
      <c r="W12" s="162"/>
      <c r="X12" s="162"/>
      <c r="Y12" s="162"/>
      <c r="Z12" s="162"/>
      <c r="AA12" s="162"/>
      <c r="AB12" s="162"/>
      <c r="AC12" s="162"/>
      <c r="AD12" s="162"/>
    </row>
    <row r="13" spans="1:30" ht="29.1" customHeight="1">
      <c r="A13" s="1236"/>
      <c r="B13" s="1236"/>
      <c r="C13" s="1236"/>
      <c r="D13" s="1236"/>
      <c r="E13" s="1236"/>
      <c r="F13" s="1236"/>
      <c r="G13" s="4"/>
      <c r="H13" s="162"/>
      <c r="I13" s="162"/>
      <c r="J13" s="162"/>
      <c r="K13" s="162"/>
      <c r="L13" s="163"/>
      <c r="M13" s="163"/>
      <c r="N13" s="162"/>
      <c r="O13" s="162"/>
      <c r="P13" s="162"/>
      <c r="Q13" s="162"/>
      <c r="R13" s="162"/>
      <c r="S13" s="162"/>
      <c r="T13" s="162"/>
      <c r="U13" s="162"/>
      <c r="V13" s="162"/>
      <c r="W13" s="162"/>
      <c r="X13" s="162"/>
      <c r="Y13" s="162"/>
      <c r="Z13" s="162"/>
      <c r="AA13" s="162"/>
      <c r="AB13" s="162"/>
      <c r="AC13" s="162"/>
      <c r="AD13" s="162"/>
    </row>
    <row r="14" spans="1:30">
      <c r="A14" s="901"/>
      <c r="B14" s="4"/>
      <c r="C14" s="4"/>
      <c r="D14" s="4"/>
      <c r="E14" s="4"/>
      <c r="F14" s="4"/>
      <c r="G14" s="4"/>
      <c r="H14" s="162"/>
      <c r="I14" s="162"/>
      <c r="J14" s="162"/>
      <c r="K14" s="162"/>
      <c r="L14" s="163"/>
      <c r="M14" s="163"/>
      <c r="N14" s="162"/>
      <c r="O14" s="162"/>
      <c r="P14" s="162"/>
      <c r="Q14" s="162"/>
      <c r="R14" s="162"/>
      <c r="S14" s="162"/>
      <c r="T14" s="162"/>
      <c r="U14" s="162"/>
      <c r="V14" s="162"/>
      <c r="W14" s="162"/>
      <c r="X14" s="162"/>
      <c r="Y14" s="162"/>
      <c r="Z14" s="162"/>
      <c r="AA14" s="162"/>
      <c r="AB14" s="162"/>
      <c r="AC14" s="162"/>
      <c r="AD14" s="162"/>
    </row>
    <row r="15" spans="1:30" ht="15" thickBot="1">
      <c r="A15" s="7" t="s">
        <v>538</v>
      </c>
      <c r="B15" s="4"/>
      <c r="C15" s="4"/>
      <c r="D15" s="4"/>
      <c r="E15" s="4"/>
      <c r="F15" s="4"/>
      <c r="G15" s="4"/>
      <c r="H15" s="162"/>
      <c r="I15" s="162"/>
      <c r="J15" s="162"/>
      <c r="K15" s="162"/>
      <c r="L15" s="163"/>
      <c r="M15" s="163"/>
      <c r="N15" s="162"/>
      <c r="O15" s="162"/>
      <c r="P15" s="162"/>
      <c r="Q15" s="162"/>
      <c r="R15" s="162"/>
      <c r="S15" s="162"/>
      <c r="T15" s="162"/>
      <c r="U15" s="162"/>
      <c r="V15" s="162"/>
      <c r="W15" s="162"/>
      <c r="X15" s="162"/>
      <c r="Y15" s="162"/>
      <c r="Z15" s="162"/>
      <c r="AA15" s="162"/>
      <c r="AB15" s="162"/>
      <c r="AC15" s="162"/>
      <c r="AD15" s="162"/>
    </row>
    <row r="16" spans="1:30" ht="40.5" thickBot="1">
      <c r="A16" s="687" t="s">
        <v>284</v>
      </c>
      <c r="B16" s="688" t="s">
        <v>0</v>
      </c>
      <c r="C16" s="924" t="s">
        <v>135</v>
      </c>
      <c r="D16" s="663" t="s">
        <v>303</v>
      </c>
      <c r="E16" s="193" t="s">
        <v>285</v>
      </c>
      <c r="F16" s="193" t="s">
        <v>297</v>
      </c>
      <c r="G16" s="194" t="s">
        <v>301</v>
      </c>
      <c r="H16" s="162"/>
      <c r="I16" s="162"/>
      <c r="J16" s="162"/>
      <c r="K16" s="162"/>
      <c r="L16" s="163"/>
      <c r="M16" s="163"/>
      <c r="N16" s="162"/>
      <c r="O16" s="162"/>
      <c r="P16" s="162"/>
      <c r="Q16" s="162"/>
      <c r="R16" s="162"/>
      <c r="S16" s="162"/>
      <c r="T16" s="162"/>
      <c r="U16" s="162"/>
      <c r="V16" s="162"/>
      <c r="W16" s="162"/>
      <c r="X16" s="162"/>
      <c r="Y16" s="162"/>
      <c r="Z16" s="162"/>
      <c r="AA16" s="162"/>
      <c r="AB16" s="162"/>
      <c r="AC16" s="162"/>
      <c r="AD16" s="162"/>
    </row>
    <row r="17" spans="1:30">
      <c r="A17" s="448" t="s">
        <v>7</v>
      </c>
      <c r="B17" s="449" t="s">
        <v>8</v>
      </c>
      <c r="C17" s="449" t="s">
        <v>3</v>
      </c>
      <c r="D17" s="450">
        <v>100</v>
      </c>
      <c r="E17" s="450">
        <f>IF($C17="","",VLOOKUP($C17,Biz_Travel_Fctr,2,FALSE)*$D17)</f>
        <v>31.3</v>
      </c>
      <c r="F17" s="464">
        <f t="shared" ref="F17:F148" si="0">IF($C17="","",VLOOKUP($C17,Biz_Travel_Fctr,3,FALSE)*$D17)</f>
        <v>0.8</v>
      </c>
      <c r="G17" s="465">
        <f t="shared" ref="G17:G148" si="1">IF($C17="","",VLOOKUP($C17,Biz_Travel_Fctr,4,FALSE)*$D17)</f>
        <v>0.70000000000000007</v>
      </c>
      <c r="H17" s="162"/>
      <c r="I17" s="162"/>
      <c r="J17" s="162"/>
      <c r="K17" s="162"/>
      <c r="L17" s="344"/>
      <c r="M17" s="344"/>
      <c r="N17" s="162"/>
      <c r="O17" s="162"/>
      <c r="P17" s="162"/>
      <c r="Q17" s="162"/>
      <c r="R17" s="162"/>
      <c r="S17" s="162"/>
      <c r="T17" s="162"/>
      <c r="U17" s="162"/>
      <c r="V17" s="162"/>
      <c r="W17" s="162"/>
      <c r="X17" s="162"/>
      <c r="Y17" s="162"/>
      <c r="Z17" s="162"/>
      <c r="AA17" s="162"/>
      <c r="AB17" s="162"/>
      <c r="AC17" s="162"/>
      <c r="AD17" s="162"/>
    </row>
    <row r="18" spans="1:30">
      <c r="A18" s="168"/>
      <c r="B18" s="169"/>
      <c r="C18" s="169"/>
      <c r="D18" s="171"/>
      <c r="E18" s="401" t="str">
        <f t="shared" ref="E18:E148" si="2">IF($C18="","",VLOOKUP($C18,Biz_Travel_Fctr,2,FALSE)*$D18)</f>
        <v/>
      </c>
      <c r="F18" s="164" t="str">
        <f t="shared" si="0"/>
        <v/>
      </c>
      <c r="G18" s="172" t="str">
        <f t="shared" si="1"/>
        <v/>
      </c>
      <c r="H18" s="162"/>
      <c r="I18" s="162"/>
      <c r="J18" s="162"/>
      <c r="K18" s="162"/>
      <c r="L18" s="163"/>
      <c r="M18" s="345"/>
      <c r="N18" s="162"/>
      <c r="O18" s="162"/>
      <c r="P18" s="162"/>
      <c r="Q18" s="162"/>
      <c r="R18" s="162"/>
      <c r="S18" s="162"/>
      <c r="T18" s="162"/>
      <c r="U18" s="162"/>
      <c r="V18" s="162"/>
      <c r="W18" s="162"/>
      <c r="X18" s="162"/>
      <c r="Y18" s="162"/>
      <c r="Z18" s="162"/>
      <c r="AA18" s="162"/>
      <c r="AB18" s="162"/>
      <c r="AC18" s="162"/>
      <c r="AD18" s="162"/>
    </row>
    <row r="19" spans="1:30">
      <c r="A19" s="93"/>
      <c r="B19" s="28"/>
      <c r="C19" s="28"/>
      <c r="D19" s="171"/>
      <c r="E19" s="2" t="str">
        <f t="shared" si="2"/>
        <v/>
      </c>
      <c r="F19" s="89" t="str">
        <f t="shared" si="0"/>
        <v/>
      </c>
      <c r="G19" s="148" t="str">
        <f t="shared" si="1"/>
        <v/>
      </c>
      <c r="H19" s="162"/>
      <c r="I19" s="162"/>
      <c r="J19" s="162"/>
      <c r="K19" s="162"/>
      <c r="L19" s="163"/>
      <c r="M19" s="345"/>
      <c r="N19" s="162"/>
      <c r="O19" s="162"/>
      <c r="P19" s="162"/>
      <c r="Q19" s="162"/>
      <c r="R19" s="162"/>
      <c r="S19" s="162"/>
      <c r="T19" s="162"/>
      <c r="U19" s="162"/>
      <c r="V19" s="162"/>
      <c r="W19" s="162"/>
      <c r="X19" s="162"/>
      <c r="Y19" s="162"/>
      <c r="Z19" s="162"/>
      <c r="AA19" s="162"/>
      <c r="AB19" s="162"/>
      <c r="AC19" s="162"/>
      <c r="AD19" s="162"/>
    </row>
    <row r="20" spans="1:30">
      <c r="A20" s="93"/>
      <c r="B20" s="28"/>
      <c r="C20" s="28"/>
      <c r="D20" s="171"/>
      <c r="E20" s="2"/>
      <c r="F20" s="89"/>
      <c r="G20" s="148"/>
      <c r="H20" s="162"/>
      <c r="I20" s="162"/>
      <c r="J20" s="162"/>
      <c r="K20" s="162"/>
      <c r="L20" s="163"/>
      <c r="M20" s="345"/>
      <c r="N20" s="162"/>
      <c r="O20" s="162"/>
      <c r="P20" s="162"/>
      <c r="Q20" s="162"/>
      <c r="R20" s="162"/>
      <c r="S20" s="162"/>
      <c r="T20" s="162"/>
      <c r="U20" s="162"/>
      <c r="V20" s="162"/>
      <c r="W20" s="162"/>
      <c r="X20" s="162"/>
      <c r="Y20" s="162"/>
      <c r="Z20" s="162"/>
      <c r="AA20" s="162"/>
      <c r="AB20" s="162"/>
      <c r="AC20" s="162"/>
      <c r="AD20" s="162"/>
    </row>
    <row r="21" spans="1:30">
      <c r="A21" s="93"/>
      <c r="B21" s="28"/>
      <c r="C21" s="28"/>
      <c r="D21" s="171"/>
      <c r="E21" s="2"/>
      <c r="F21" s="89"/>
      <c r="G21" s="148"/>
      <c r="H21" s="162"/>
      <c r="I21" s="162"/>
      <c r="J21" s="162"/>
      <c r="K21" s="162"/>
      <c r="L21" s="163"/>
      <c r="M21" s="345"/>
      <c r="N21" s="162"/>
      <c r="O21" s="162"/>
      <c r="P21" s="162"/>
      <c r="Q21" s="162"/>
      <c r="R21" s="162"/>
      <c r="S21" s="162"/>
      <c r="T21" s="162"/>
      <c r="U21" s="162"/>
      <c r="V21" s="162"/>
      <c r="W21" s="162"/>
      <c r="X21" s="162"/>
      <c r="Y21" s="162"/>
      <c r="Z21" s="162"/>
      <c r="AA21" s="162"/>
      <c r="AB21" s="162"/>
      <c r="AC21" s="162"/>
      <c r="AD21" s="162"/>
    </row>
    <row r="22" spans="1:30">
      <c r="A22" s="93"/>
      <c r="B22" s="28"/>
      <c r="C22" s="28"/>
      <c r="D22" s="171"/>
      <c r="E22" s="2"/>
      <c r="F22" s="89"/>
      <c r="G22" s="148"/>
      <c r="H22" s="162"/>
      <c r="I22" s="162"/>
      <c r="J22" s="162"/>
      <c r="K22" s="162"/>
      <c r="L22" s="163"/>
      <c r="M22" s="345"/>
      <c r="N22" s="162"/>
      <c r="O22" s="162"/>
      <c r="P22" s="162"/>
      <c r="Q22" s="162"/>
      <c r="R22" s="162"/>
      <c r="S22" s="162"/>
      <c r="T22" s="162"/>
      <c r="U22" s="162"/>
      <c r="V22" s="162"/>
      <c r="W22" s="162"/>
      <c r="X22" s="162"/>
      <c r="Y22" s="162"/>
      <c r="Z22" s="162"/>
      <c r="AA22" s="162"/>
      <c r="AB22" s="162"/>
      <c r="AC22" s="162"/>
      <c r="AD22" s="162"/>
    </row>
    <row r="23" spans="1:30">
      <c r="A23" s="93"/>
      <c r="B23" s="28"/>
      <c r="C23" s="28"/>
      <c r="D23" s="171"/>
      <c r="E23" s="2"/>
      <c r="F23" s="89"/>
      <c r="G23" s="148"/>
      <c r="H23" s="162"/>
      <c r="I23" s="162"/>
      <c r="J23" s="162"/>
      <c r="K23" s="162"/>
      <c r="L23" s="163"/>
      <c r="M23" s="345"/>
      <c r="N23" s="162"/>
      <c r="O23" s="162"/>
      <c r="P23" s="162"/>
      <c r="Q23" s="162"/>
      <c r="R23" s="162"/>
      <c r="S23" s="162"/>
      <c r="T23" s="162"/>
      <c r="U23" s="162"/>
      <c r="V23" s="162"/>
      <c r="W23" s="162"/>
      <c r="X23" s="162"/>
      <c r="Y23" s="162"/>
      <c r="Z23" s="162"/>
      <c r="AA23" s="162"/>
      <c r="AB23" s="162"/>
      <c r="AC23" s="162"/>
      <c r="AD23" s="162"/>
    </row>
    <row r="24" spans="1:30">
      <c r="A24" s="93"/>
      <c r="B24" s="28"/>
      <c r="C24" s="28"/>
      <c r="D24" s="171"/>
      <c r="E24" s="2"/>
      <c r="F24" s="89"/>
      <c r="G24" s="148"/>
      <c r="H24" s="162"/>
      <c r="I24" s="162"/>
      <c r="J24" s="162"/>
      <c r="K24" s="162"/>
      <c r="L24" s="163"/>
      <c r="M24" s="345"/>
      <c r="N24" s="162"/>
      <c r="O24" s="162"/>
      <c r="P24" s="162"/>
      <c r="Q24" s="162"/>
      <c r="R24" s="162"/>
      <c r="S24" s="162"/>
      <c r="T24" s="162"/>
      <c r="U24" s="162"/>
      <c r="V24" s="162"/>
      <c r="W24" s="162"/>
      <c r="X24" s="162"/>
      <c r="Y24" s="162"/>
      <c r="Z24" s="162"/>
      <c r="AA24" s="162"/>
      <c r="AB24" s="162"/>
      <c r="AC24" s="162"/>
      <c r="AD24" s="162"/>
    </row>
    <row r="25" spans="1:30">
      <c r="A25" s="93"/>
      <c r="B25" s="28"/>
      <c r="C25" s="28"/>
      <c r="D25" s="171"/>
      <c r="E25" s="2"/>
      <c r="F25" s="89"/>
      <c r="G25" s="148"/>
      <c r="H25" s="162"/>
      <c r="I25" s="162"/>
      <c r="J25" s="162"/>
      <c r="K25" s="162"/>
      <c r="L25" s="163"/>
      <c r="M25" s="345"/>
      <c r="N25" s="162"/>
      <c r="O25" s="162"/>
      <c r="P25" s="162"/>
      <c r="Q25" s="162"/>
      <c r="R25" s="162"/>
      <c r="S25" s="162"/>
      <c r="T25" s="162"/>
      <c r="U25" s="162"/>
      <c r="V25" s="162"/>
      <c r="W25" s="162"/>
      <c r="X25" s="162"/>
      <c r="Y25" s="162"/>
      <c r="Z25" s="162"/>
      <c r="AA25" s="162"/>
      <c r="AB25" s="162"/>
      <c r="AC25" s="162"/>
      <c r="AD25" s="162"/>
    </row>
    <row r="26" spans="1:30">
      <c r="A26" s="93"/>
      <c r="B26" s="28"/>
      <c r="C26" s="28"/>
      <c r="D26" s="171"/>
      <c r="E26" s="2"/>
      <c r="F26" s="89"/>
      <c r="G26" s="148"/>
      <c r="H26" s="162"/>
      <c r="I26" s="162"/>
      <c r="J26" s="162"/>
      <c r="K26" s="162"/>
      <c r="L26" s="163"/>
      <c r="M26" s="345"/>
      <c r="N26" s="162"/>
      <c r="O26" s="162"/>
      <c r="P26" s="162"/>
      <c r="Q26" s="162"/>
      <c r="R26" s="162"/>
      <c r="S26" s="162"/>
      <c r="T26" s="162"/>
      <c r="U26" s="162"/>
      <c r="V26" s="162"/>
      <c r="W26" s="162"/>
      <c r="X26" s="162"/>
      <c r="Y26" s="162"/>
      <c r="Z26" s="162"/>
      <c r="AA26" s="162"/>
      <c r="AB26" s="162"/>
      <c r="AC26" s="162"/>
      <c r="AD26" s="162"/>
    </row>
    <row r="27" spans="1:30">
      <c r="A27" s="93"/>
      <c r="B27" s="28"/>
      <c r="C27" s="28"/>
      <c r="D27" s="171"/>
      <c r="E27" s="2"/>
      <c r="F27" s="89"/>
      <c r="G27" s="148"/>
      <c r="H27" s="162"/>
      <c r="I27" s="162"/>
      <c r="J27" s="162"/>
      <c r="K27" s="162"/>
      <c r="L27" s="163"/>
      <c r="M27" s="345"/>
      <c r="N27" s="162"/>
      <c r="O27" s="162"/>
      <c r="P27" s="162"/>
      <c r="Q27" s="162"/>
      <c r="R27" s="162"/>
      <c r="S27" s="162"/>
      <c r="T27" s="162"/>
      <c r="U27" s="162"/>
      <c r="V27" s="162"/>
      <c r="W27" s="162"/>
      <c r="X27" s="162"/>
      <c r="Y27" s="162"/>
      <c r="Z27" s="162"/>
      <c r="AA27" s="162"/>
      <c r="AB27" s="162"/>
      <c r="AC27" s="162"/>
      <c r="AD27" s="162"/>
    </row>
    <row r="28" spans="1:30">
      <c r="A28" s="93"/>
      <c r="B28" s="28"/>
      <c r="C28" s="28"/>
      <c r="D28" s="171"/>
      <c r="E28" s="2"/>
      <c r="F28" s="89"/>
      <c r="G28" s="148"/>
      <c r="H28" s="162"/>
      <c r="I28" s="162"/>
      <c r="J28" s="162"/>
      <c r="K28" s="162"/>
      <c r="L28" s="163"/>
      <c r="M28" s="345"/>
      <c r="N28" s="162"/>
      <c r="O28" s="162"/>
      <c r="P28" s="162"/>
      <c r="Q28" s="162"/>
      <c r="R28" s="162"/>
      <c r="S28" s="162"/>
      <c r="T28" s="162"/>
      <c r="U28" s="162"/>
      <c r="V28" s="162"/>
      <c r="W28" s="162"/>
      <c r="X28" s="162"/>
      <c r="Y28" s="162"/>
      <c r="Z28" s="162"/>
      <c r="AA28" s="162"/>
      <c r="AB28" s="162"/>
      <c r="AC28" s="162"/>
      <c r="AD28" s="162"/>
    </row>
    <row r="29" spans="1:30">
      <c r="A29" s="93"/>
      <c r="B29" s="28"/>
      <c r="C29" s="28"/>
      <c r="D29" s="171"/>
      <c r="E29" s="2"/>
      <c r="F29" s="89"/>
      <c r="G29" s="148"/>
      <c r="H29" s="162"/>
      <c r="I29" s="162"/>
      <c r="J29" s="162"/>
      <c r="K29" s="162"/>
      <c r="L29" s="163"/>
      <c r="M29" s="345"/>
      <c r="N29" s="162"/>
      <c r="O29" s="162"/>
      <c r="P29" s="162"/>
      <c r="Q29" s="162"/>
      <c r="R29" s="162"/>
      <c r="S29" s="162"/>
      <c r="T29" s="162"/>
      <c r="U29" s="162"/>
      <c r="V29" s="162"/>
      <c r="W29" s="162"/>
      <c r="X29" s="162"/>
      <c r="Y29" s="162"/>
      <c r="Z29" s="162"/>
      <c r="AA29" s="162"/>
      <c r="AB29" s="162"/>
      <c r="AC29" s="162"/>
      <c r="AD29" s="162"/>
    </row>
    <row r="30" spans="1:30">
      <c r="A30" s="93"/>
      <c r="B30" s="28"/>
      <c r="C30" s="28"/>
      <c r="D30" s="171"/>
      <c r="E30" s="2"/>
      <c r="F30" s="89"/>
      <c r="G30" s="148"/>
      <c r="H30" s="162"/>
      <c r="I30" s="162"/>
      <c r="J30" s="162"/>
      <c r="K30" s="162"/>
      <c r="L30" s="163"/>
      <c r="M30" s="345"/>
      <c r="N30" s="162"/>
      <c r="O30" s="162"/>
      <c r="P30" s="162"/>
      <c r="Q30" s="162"/>
      <c r="R30" s="162"/>
      <c r="S30" s="162"/>
      <c r="T30" s="162"/>
      <c r="U30" s="162"/>
      <c r="V30" s="162"/>
      <c r="W30" s="162"/>
      <c r="X30" s="162"/>
      <c r="Y30" s="162"/>
      <c r="Z30" s="162"/>
      <c r="AA30" s="162"/>
      <c r="AB30" s="162"/>
      <c r="AC30" s="162"/>
      <c r="AD30" s="162"/>
    </row>
    <row r="31" spans="1:30">
      <c r="A31" s="93"/>
      <c r="B31" s="28"/>
      <c r="C31" s="28"/>
      <c r="D31" s="171"/>
      <c r="E31" s="2"/>
      <c r="F31" s="89"/>
      <c r="G31" s="148"/>
      <c r="H31" s="162"/>
      <c r="I31" s="162"/>
      <c r="J31" s="162"/>
      <c r="K31" s="162"/>
      <c r="L31" s="163"/>
      <c r="M31" s="345"/>
      <c r="N31" s="162"/>
      <c r="O31" s="162"/>
      <c r="P31" s="162"/>
      <c r="Q31" s="162"/>
      <c r="R31" s="162"/>
      <c r="S31" s="162"/>
      <c r="T31" s="162"/>
      <c r="U31" s="162"/>
      <c r="V31" s="162"/>
      <c r="W31" s="162"/>
      <c r="X31" s="162"/>
      <c r="Y31" s="162"/>
      <c r="Z31" s="162"/>
      <c r="AA31" s="162"/>
      <c r="AB31" s="162"/>
      <c r="AC31" s="162"/>
      <c r="AD31" s="162"/>
    </row>
    <row r="32" spans="1:30">
      <c r="A32" s="93"/>
      <c r="B32" s="28"/>
      <c r="C32" s="28"/>
      <c r="D32" s="171"/>
      <c r="E32" s="2"/>
      <c r="F32" s="89"/>
      <c r="G32" s="148"/>
      <c r="H32" s="162"/>
      <c r="I32" s="162"/>
      <c r="J32" s="162"/>
      <c r="K32" s="162"/>
      <c r="L32" s="163"/>
      <c r="M32" s="345"/>
      <c r="N32" s="162"/>
      <c r="O32" s="162"/>
      <c r="P32" s="162"/>
      <c r="Q32" s="162"/>
      <c r="R32" s="162"/>
      <c r="S32" s="162"/>
      <c r="T32" s="162"/>
      <c r="U32" s="162"/>
      <c r="V32" s="162"/>
      <c r="W32" s="162"/>
      <c r="X32" s="162"/>
      <c r="Y32" s="162"/>
      <c r="Z32" s="162"/>
      <c r="AA32" s="162"/>
      <c r="AB32" s="162"/>
      <c r="AC32" s="162"/>
      <c r="AD32" s="162"/>
    </row>
    <row r="33" spans="1:30">
      <c r="A33" s="93"/>
      <c r="B33" s="28"/>
      <c r="C33" s="28"/>
      <c r="D33" s="171"/>
      <c r="E33" s="2"/>
      <c r="F33" s="89"/>
      <c r="G33" s="148"/>
      <c r="H33" s="162"/>
      <c r="I33" s="162"/>
      <c r="J33" s="162"/>
      <c r="K33" s="162"/>
      <c r="L33" s="163"/>
      <c r="M33" s="345"/>
      <c r="N33" s="162"/>
      <c r="O33" s="162"/>
      <c r="P33" s="162"/>
      <c r="Q33" s="162"/>
      <c r="R33" s="162"/>
      <c r="S33" s="162"/>
      <c r="T33" s="162"/>
      <c r="U33" s="162"/>
      <c r="V33" s="162"/>
      <c r="W33" s="162"/>
      <c r="X33" s="162"/>
      <c r="Y33" s="162"/>
      <c r="Z33" s="162"/>
      <c r="AA33" s="162"/>
      <c r="AB33" s="162"/>
      <c r="AC33" s="162"/>
      <c r="AD33" s="162"/>
    </row>
    <row r="34" spans="1:30">
      <c r="A34" s="93"/>
      <c r="B34" s="28"/>
      <c r="C34" s="28"/>
      <c r="D34" s="171"/>
      <c r="E34" s="2"/>
      <c r="F34" s="89"/>
      <c r="G34" s="148"/>
      <c r="H34" s="162"/>
      <c r="I34" s="162"/>
      <c r="J34" s="162"/>
      <c r="K34" s="162"/>
      <c r="L34" s="163"/>
      <c r="M34" s="345"/>
      <c r="N34" s="162"/>
      <c r="O34" s="162"/>
      <c r="P34" s="162"/>
      <c r="Q34" s="162"/>
      <c r="R34" s="162"/>
      <c r="S34" s="162"/>
      <c r="T34" s="162"/>
      <c r="U34" s="162"/>
      <c r="V34" s="162"/>
      <c r="W34" s="162"/>
      <c r="X34" s="162"/>
      <c r="Y34" s="162"/>
      <c r="Z34" s="162"/>
      <c r="AA34" s="162"/>
      <c r="AB34" s="162"/>
      <c r="AC34" s="162"/>
      <c r="AD34" s="162"/>
    </row>
    <row r="35" spans="1:30">
      <c r="A35" s="93"/>
      <c r="B35" s="28"/>
      <c r="C35" s="28"/>
      <c r="D35" s="171"/>
      <c r="E35" s="2"/>
      <c r="F35" s="89"/>
      <c r="G35" s="148"/>
      <c r="H35" s="162"/>
      <c r="I35" s="162"/>
      <c r="J35" s="162"/>
      <c r="K35" s="162"/>
      <c r="L35" s="163"/>
      <c r="M35" s="345"/>
      <c r="N35" s="162"/>
      <c r="O35" s="162"/>
      <c r="P35" s="162"/>
      <c r="Q35" s="162"/>
      <c r="R35" s="162"/>
      <c r="S35" s="162"/>
      <c r="T35" s="162"/>
      <c r="U35" s="162"/>
      <c r="V35" s="162"/>
      <c r="W35" s="162"/>
      <c r="X35" s="162"/>
      <c r="Y35" s="162"/>
      <c r="Z35" s="162"/>
      <c r="AA35" s="162"/>
      <c r="AB35" s="162"/>
      <c r="AC35" s="162"/>
      <c r="AD35" s="162"/>
    </row>
    <row r="36" spans="1:30">
      <c r="A36" s="93"/>
      <c r="B36" s="28"/>
      <c r="C36" s="28"/>
      <c r="D36" s="171"/>
      <c r="E36" s="2"/>
      <c r="F36" s="89"/>
      <c r="G36" s="148"/>
      <c r="H36" s="162"/>
      <c r="I36" s="162"/>
      <c r="J36" s="162"/>
      <c r="K36" s="162"/>
      <c r="L36" s="163"/>
      <c r="M36" s="345"/>
      <c r="N36" s="162"/>
      <c r="O36" s="162"/>
      <c r="P36" s="162"/>
      <c r="Q36" s="162"/>
      <c r="R36" s="162"/>
      <c r="S36" s="162"/>
      <c r="T36" s="162"/>
      <c r="U36" s="162"/>
      <c r="V36" s="162"/>
      <c r="W36" s="162"/>
      <c r="X36" s="162"/>
      <c r="Y36" s="162"/>
      <c r="Z36" s="162"/>
      <c r="AA36" s="162"/>
      <c r="AB36" s="162"/>
      <c r="AC36" s="162"/>
      <c r="AD36" s="162"/>
    </row>
    <row r="37" spans="1:30">
      <c r="A37" s="93"/>
      <c r="B37" s="28"/>
      <c r="C37" s="28"/>
      <c r="D37" s="171"/>
      <c r="E37" s="2"/>
      <c r="F37" s="89"/>
      <c r="G37" s="148"/>
      <c r="H37" s="162"/>
      <c r="I37" s="162"/>
      <c r="J37" s="162"/>
      <c r="K37" s="162"/>
      <c r="L37" s="163"/>
      <c r="M37" s="345"/>
      <c r="N37" s="162"/>
      <c r="O37" s="162"/>
      <c r="P37" s="162"/>
      <c r="Q37" s="162"/>
      <c r="R37" s="162"/>
      <c r="S37" s="162"/>
      <c r="T37" s="162"/>
      <c r="U37" s="162"/>
      <c r="V37" s="162"/>
      <c r="W37" s="162"/>
      <c r="X37" s="162"/>
      <c r="Y37" s="162"/>
      <c r="Z37" s="162"/>
      <c r="AA37" s="162"/>
      <c r="AB37" s="162"/>
      <c r="AC37" s="162"/>
      <c r="AD37" s="162"/>
    </row>
    <row r="38" spans="1:30">
      <c r="A38" s="93"/>
      <c r="B38" s="28"/>
      <c r="C38" s="28"/>
      <c r="D38" s="171"/>
      <c r="E38" s="2"/>
      <c r="F38" s="89"/>
      <c r="G38" s="148"/>
      <c r="H38" s="162"/>
      <c r="I38" s="162"/>
      <c r="J38" s="162"/>
      <c r="K38" s="162"/>
      <c r="L38" s="163"/>
      <c r="M38" s="345"/>
      <c r="N38" s="162"/>
      <c r="O38" s="162"/>
      <c r="P38" s="162"/>
      <c r="Q38" s="162"/>
      <c r="R38" s="162"/>
      <c r="S38" s="162"/>
      <c r="T38" s="162"/>
      <c r="U38" s="162"/>
      <c r="V38" s="162"/>
      <c r="W38" s="162"/>
      <c r="X38" s="162"/>
      <c r="Y38" s="162"/>
      <c r="Z38" s="162"/>
      <c r="AA38" s="162"/>
      <c r="AB38" s="162"/>
      <c r="AC38" s="162"/>
      <c r="AD38" s="162"/>
    </row>
    <row r="39" spans="1:30">
      <c r="A39" s="93"/>
      <c r="B39" s="28"/>
      <c r="C39" s="28"/>
      <c r="D39" s="171"/>
      <c r="E39" s="2"/>
      <c r="F39" s="89"/>
      <c r="G39" s="148"/>
      <c r="H39" s="162"/>
      <c r="I39" s="162"/>
      <c r="J39" s="162"/>
      <c r="K39" s="162"/>
      <c r="L39" s="163"/>
      <c r="M39" s="345"/>
      <c r="N39" s="162"/>
      <c r="O39" s="162"/>
      <c r="P39" s="162"/>
      <c r="Q39" s="162"/>
      <c r="R39" s="162"/>
      <c r="S39" s="162"/>
      <c r="T39" s="162"/>
      <c r="U39" s="162"/>
      <c r="V39" s="162"/>
      <c r="W39" s="162"/>
      <c r="X39" s="162"/>
      <c r="Y39" s="162"/>
      <c r="Z39" s="162"/>
      <c r="AA39" s="162"/>
      <c r="AB39" s="162"/>
      <c r="AC39" s="162"/>
      <c r="AD39" s="162"/>
    </row>
    <row r="40" spans="1:30">
      <c r="A40" s="93"/>
      <c r="B40" s="28"/>
      <c r="C40" s="28"/>
      <c r="D40" s="171"/>
      <c r="E40" s="2"/>
      <c r="F40" s="89"/>
      <c r="G40" s="148"/>
      <c r="H40" s="162"/>
      <c r="I40" s="162"/>
      <c r="J40" s="162"/>
      <c r="K40" s="162"/>
      <c r="L40" s="163"/>
      <c r="M40" s="345"/>
      <c r="N40" s="162"/>
      <c r="O40" s="162"/>
      <c r="P40" s="162"/>
      <c r="Q40" s="162"/>
      <c r="R40" s="162"/>
      <c r="S40" s="162"/>
      <c r="T40" s="162"/>
      <c r="U40" s="162"/>
      <c r="V40" s="162"/>
      <c r="W40" s="162"/>
      <c r="X40" s="162"/>
      <c r="Y40" s="162"/>
      <c r="Z40" s="162"/>
      <c r="AA40" s="162"/>
      <c r="AB40" s="162"/>
      <c r="AC40" s="162"/>
      <c r="AD40" s="162"/>
    </row>
    <row r="41" spans="1:30">
      <c r="A41" s="93"/>
      <c r="B41" s="28"/>
      <c r="C41" s="28"/>
      <c r="D41" s="171"/>
      <c r="E41" s="2"/>
      <c r="F41" s="89"/>
      <c r="G41" s="148"/>
      <c r="H41" s="162"/>
      <c r="I41" s="162"/>
      <c r="J41" s="162"/>
      <c r="K41" s="162"/>
      <c r="L41" s="163"/>
      <c r="M41" s="345"/>
      <c r="N41" s="162"/>
      <c r="O41" s="162"/>
      <c r="P41" s="162"/>
      <c r="Q41" s="162"/>
      <c r="R41" s="162"/>
      <c r="S41" s="162"/>
      <c r="T41" s="162"/>
      <c r="U41" s="162"/>
      <c r="V41" s="162"/>
      <c r="W41" s="162"/>
      <c r="X41" s="162"/>
      <c r="Y41" s="162"/>
      <c r="Z41" s="162"/>
      <c r="AA41" s="162"/>
      <c r="AB41" s="162"/>
      <c r="AC41" s="162"/>
      <c r="AD41" s="162"/>
    </row>
    <row r="42" spans="1:30">
      <c r="A42" s="93"/>
      <c r="B42" s="28"/>
      <c r="C42" s="28"/>
      <c r="D42" s="171"/>
      <c r="E42" s="2"/>
      <c r="F42" s="89"/>
      <c r="G42" s="148"/>
      <c r="H42" s="162"/>
      <c r="I42" s="162"/>
      <c r="J42" s="162"/>
      <c r="K42" s="162"/>
      <c r="L42" s="163"/>
      <c r="M42" s="345"/>
      <c r="N42" s="162"/>
      <c r="O42" s="162"/>
      <c r="P42" s="162"/>
      <c r="Q42" s="162"/>
      <c r="R42" s="162"/>
      <c r="S42" s="162"/>
      <c r="T42" s="162"/>
      <c r="U42" s="162"/>
      <c r="V42" s="162"/>
      <c r="W42" s="162"/>
      <c r="X42" s="162"/>
      <c r="Y42" s="162"/>
      <c r="Z42" s="162"/>
      <c r="AA42" s="162"/>
      <c r="AB42" s="162"/>
      <c r="AC42" s="162"/>
      <c r="AD42" s="162"/>
    </row>
    <row r="43" spans="1:30">
      <c r="A43" s="93"/>
      <c r="B43" s="28"/>
      <c r="C43" s="28"/>
      <c r="D43" s="171"/>
      <c r="E43" s="2"/>
      <c r="F43" s="89"/>
      <c r="G43" s="148"/>
      <c r="H43" s="162"/>
      <c r="I43" s="162"/>
      <c r="J43" s="162"/>
      <c r="K43" s="162"/>
      <c r="L43" s="163"/>
      <c r="M43" s="345"/>
      <c r="N43" s="162"/>
      <c r="O43" s="162"/>
      <c r="P43" s="162"/>
      <c r="Q43" s="162"/>
      <c r="R43" s="162"/>
      <c r="S43" s="162"/>
      <c r="T43" s="162"/>
      <c r="U43" s="162"/>
      <c r="V43" s="162"/>
      <c r="W43" s="162"/>
      <c r="X43" s="162"/>
      <c r="Y43" s="162"/>
      <c r="Z43" s="162"/>
      <c r="AA43" s="162"/>
      <c r="AB43" s="162"/>
      <c r="AC43" s="162"/>
      <c r="AD43" s="162"/>
    </row>
    <row r="44" spans="1:30">
      <c r="A44" s="93"/>
      <c r="B44" s="28"/>
      <c r="C44" s="28"/>
      <c r="D44" s="171"/>
      <c r="E44" s="2"/>
      <c r="F44" s="89"/>
      <c r="G44" s="148"/>
      <c r="H44" s="162"/>
      <c r="I44" s="162"/>
      <c r="J44" s="162"/>
      <c r="K44" s="162"/>
      <c r="L44" s="163"/>
      <c r="M44" s="345"/>
      <c r="N44" s="162"/>
      <c r="O44" s="162"/>
      <c r="P44" s="162"/>
      <c r="Q44" s="162"/>
      <c r="R44" s="162"/>
      <c r="S44" s="162"/>
      <c r="T44" s="162"/>
      <c r="U44" s="162"/>
      <c r="V44" s="162"/>
      <c r="W44" s="162"/>
      <c r="X44" s="162"/>
      <c r="Y44" s="162"/>
      <c r="Z44" s="162"/>
      <c r="AA44" s="162"/>
      <c r="AB44" s="162"/>
      <c r="AC44" s="162"/>
      <c r="AD44" s="162"/>
    </row>
    <row r="45" spans="1:30">
      <c r="A45" s="93"/>
      <c r="B45" s="28"/>
      <c r="C45" s="28"/>
      <c r="D45" s="171"/>
      <c r="E45" s="2"/>
      <c r="F45" s="89"/>
      <c r="G45" s="148"/>
      <c r="H45" s="162"/>
      <c r="I45" s="162"/>
      <c r="J45" s="162"/>
      <c r="K45" s="162"/>
      <c r="L45" s="163"/>
      <c r="M45" s="345"/>
      <c r="N45" s="162"/>
      <c r="O45" s="162"/>
      <c r="P45" s="162"/>
      <c r="Q45" s="162"/>
      <c r="R45" s="162"/>
      <c r="S45" s="162"/>
      <c r="T45" s="162"/>
      <c r="U45" s="162"/>
      <c r="V45" s="162"/>
      <c r="W45" s="162"/>
      <c r="X45" s="162"/>
      <c r="Y45" s="162"/>
      <c r="Z45" s="162"/>
      <c r="AA45" s="162"/>
      <c r="AB45" s="162"/>
      <c r="AC45" s="162"/>
      <c r="AD45" s="162"/>
    </row>
    <row r="46" spans="1:30">
      <c r="A46" s="93"/>
      <c r="B46" s="28"/>
      <c r="C46" s="28"/>
      <c r="D46" s="171"/>
      <c r="E46" s="2"/>
      <c r="F46" s="89"/>
      <c r="G46" s="148"/>
      <c r="H46" s="162"/>
      <c r="I46" s="162"/>
      <c r="J46" s="162"/>
      <c r="K46" s="162"/>
      <c r="L46" s="163"/>
      <c r="M46" s="345"/>
      <c r="N46" s="162"/>
      <c r="O46" s="162"/>
      <c r="P46" s="162"/>
      <c r="Q46" s="162"/>
      <c r="R46" s="162"/>
      <c r="S46" s="162"/>
      <c r="T46" s="162"/>
      <c r="U46" s="162"/>
      <c r="V46" s="162"/>
      <c r="W46" s="162"/>
      <c r="X46" s="162"/>
      <c r="Y46" s="162"/>
      <c r="Z46" s="162"/>
      <c r="AA46" s="162"/>
      <c r="AB46" s="162"/>
      <c r="AC46" s="162"/>
      <c r="AD46" s="162"/>
    </row>
    <row r="47" spans="1:30">
      <c r="A47" s="93"/>
      <c r="B47" s="28"/>
      <c r="C47" s="28"/>
      <c r="D47" s="171"/>
      <c r="E47" s="2"/>
      <c r="F47" s="89"/>
      <c r="G47" s="148"/>
      <c r="H47" s="162"/>
      <c r="I47" s="162"/>
      <c r="J47" s="162"/>
      <c r="K47" s="162"/>
      <c r="L47" s="163"/>
      <c r="M47" s="345"/>
      <c r="N47" s="162"/>
      <c r="O47" s="162"/>
      <c r="P47" s="162"/>
      <c r="Q47" s="162"/>
      <c r="R47" s="162"/>
      <c r="S47" s="162"/>
      <c r="T47" s="162"/>
      <c r="U47" s="162"/>
      <c r="V47" s="162"/>
      <c r="W47" s="162"/>
      <c r="X47" s="162"/>
      <c r="Y47" s="162"/>
      <c r="Z47" s="162"/>
      <c r="AA47" s="162"/>
      <c r="AB47" s="162"/>
      <c r="AC47" s="162"/>
      <c r="AD47" s="162"/>
    </row>
    <row r="48" spans="1:30">
      <c r="A48" s="93"/>
      <c r="B48" s="28"/>
      <c r="C48" s="28"/>
      <c r="D48" s="171"/>
      <c r="E48" s="2"/>
      <c r="F48" s="89"/>
      <c r="G48" s="148"/>
      <c r="H48" s="162"/>
      <c r="I48" s="162"/>
      <c r="J48" s="162"/>
      <c r="K48" s="162"/>
      <c r="L48" s="163"/>
      <c r="M48" s="345"/>
      <c r="N48" s="162"/>
      <c r="O48" s="162"/>
      <c r="P48" s="162"/>
      <c r="Q48" s="162"/>
      <c r="R48" s="162"/>
      <c r="S48" s="162"/>
      <c r="T48" s="162"/>
      <c r="U48" s="162"/>
      <c r="V48" s="162"/>
      <c r="W48" s="162"/>
      <c r="X48" s="162"/>
      <c r="Y48" s="162"/>
      <c r="Z48" s="162"/>
      <c r="AA48" s="162"/>
      <c r="AB48" s="162"/>
      <c r="AC48" s="162"/>
      <c r="AD48" s="162"/>
    </row>
    <row r="49" spans="1:30">
      <c r="A49" s="93"/>
      <c r="B49" s="28"/>
      <c r="C49" s="28"/>
      <c r="D49" s="171"/>
      <c r="E49" s="2"/>
      <c r="F49" s="89"/>
      <c r="G49" s="148"/>
      <c r="H49" s="162"/>
      <c r="I49" s="162"/>
      <c r="J49" s="162"/>
      <c r="K49" s="162"/>
      <c r="L49" s="163"/>
      <c r="M49" s="345"/>
      <c r="N49" s="162"/>
      <c r="O49" s="162"/>
      <c r="P49" s="162"/>
      <c r="Q49" s="162"/>
      <c r="R49" s="162"/>
      <c r="S49" s="162"/>
      <c r="T49" s="162"/>
      <c r="U49" s="162"/>
      <c r="V49" s="162"/>
      <c r="W49" s="162"/>
      <c r="X49" s="162"/>
      <c r="Y49" s="162"/>
      <c r="Z49" s="162"/>
      <c r="AA49" s="162"/>
      <c r="AB49" s="162"/>
      <c r="AC49" s="162"/>
      <c r="AD49" s="162"/>
    </row>
    <row r="50" spans="1:30">
      <c r="A50" s="93"/>
      <c r="B50" s="28"/>
      <c r="C50" s="28"/>
      <c r="D50" s="171"/>
      <c r="E50" s="2"/>
      <c r="F50" s="89"/>
      <c r="G50" s="148"/>
      <c r="H50" s="162"/>
      <c r="I50" s="162"/>
      <c r="J50" s="162"/>
      <c r="K50" s="162"/>
      <c r="L50" s="163"/>
      <c r="M50" s="345"/>
      <c r="N50" s="162"/>
      <c r="O50" s="162"/>
      <c r="P50" s="162"/>
      <c r="Q50" s="162"/>
      <c r="R50" s="162"/>
      <c r="S50" s="162"/>
      <c r="T50" s="162"/>
      <c r="U50" s="162"/>
      <c r="V50" s="162"/>
      <c r="W50" s="162"/>
      <c r="X50" s="162"/>
      <c r="Y50" s="162"/>
      <c r="Z50" s="162"/>
      <c r="AA50" s="162"/>
      <c r="AB50" s="162"/>
      <c r="AC50" s="162"/>
      <c r="AD50" s="162"/>
    </row>
    <row r="51" spans="1:30">
      <c r="A51" s="93"/>
      <c r="B51" s="28"/>
      <c r="C51" s="28"/>
      <c r="D51" s="171"/>
      <c r="E51" s="2"/>
      <c r="F51" s="89"/>
      <c r="G51" s="148"/>
      <c r="H51" s="162"/>
      <c r="I51" s="162"/>
      <c r="J51" s="162"/>
      <c r="K51" s="162"/>
      <c r="L51" s="163"/>
      <c r="M51" s="345"/>
      <c r="N51" s="162"/>
      <c r="O51" s="162"/>
      <c r="P51" s="162"/>
      <c r="Q51" s="162"/>
      <c r="R51" s="162"/>
      <c r="S51" s="162"/>
      <c r="T51" s="162"/>
      <c r="U51" s="162"/>
      <c r="V51" s="162"/>
      <c r="W51" s="162"/>
      <c r="X51" s="162"/>
      <c r="Y51" s="162"/>
      <c r="Z51" s="162"/>
      <c r="AA51" s="162"/>
      <c r="AB51" s="162"/>
      <c r="AC51" s="162"/>
      <c r="AD51" s="162"/>
    </row>
    <row r="52" spans="1:30">
      <c r="A52" s="93"/>
      <c r="B52" s="28"/>
      <c r="C52" s="28"/>
      <c r="D52" s="171"/>
      <c r="E52" s="2"/>
      <c r="F52" s="89"/>
      <c r="G52" s="148"/>
      <c r="H52" s="162"/>
      <c r="I52" s="162"/>
      <c r="J52" s="162"/>
      <c r="K52" s="162"/>
      <c r="L52" s="163"/>
      <c r="M52" s="345"/>
      <c r="N52" s="162"/>
      <c r="O52" s="162"/>
      <c r="P52" s="162"/>
      <c r="Q52" s="162"/>
      <c r="R52" s="162"/>
      <c r="S52" s="162"/>
      <c r="T52" s="162"/>
      <c r="U52" s="162"/>
      <c r="V52" s="162"/>
      <c r="W52" s="162"/>
      <c r="X52" s="162"/>
      <c r="Y52" s="162"/>
      <c r="Z52" s="162"/>
      <c r="AA52" s="162"/>
      <c r="AB52" s="162"/>
      <c r="AC52" s="162"/>
      <c r="AD52" s="162"/>
    </row>
    <row r="53" spans="1:30">
      <c r="A53" s="93"/>
      <c r="B53" s="28"/>
      <c r="C53" s="28"/>
      <c r="D53" s="171"/>
      <c r="E53" s="2"/>
      <c r="F53" s="89"/>
      <c r="G53" s="148"/>
      <c r="H53" s="162"/>
      <c r="I53" s="162"/>
      <c r="J53" s="162"/>
      <c r="K53" s="162"/>
      <c r="L53" s="163"/>
      <c r="M53" s="345"/>
      <c r="N53" s="162"/>
      <c r="O53" s="162"/>
      <c r="P53" s="162"/>
      <c r="Q53" s="162"/>
      <c r="R53" s="162"/>
      <c r="S53" s="162"/>
      <c r="T53" s="162"/>
      <c r="U53" s="162"/>
      <c r="V53" s="162"/>
      <c r="W53" s="162"/>
      <c r="X53" s="162"/>
      <c r="Y53" s="162"/>
      <c r="Z53" s="162"/>
      <c r="AA53" s="162"/>
      <c r="AB53" s="162"/>
      <c r="AC53" s="162"/>
      <c r="AD53" s="162"/>
    </row>
    <row r="54" spans="1:30">
      <c r="A54" s="93"/>
      <c r="B54" s="28"/>
      <c r="C54" s="28"/>
      <c r="D54" s="171"/>
      <c r="E54" s="2"/>
      <c r="F54" s="89"/>
      <c r="G54" s="148"/>
      <c r="H54" s="162"/>
      <c r="I54" s="162"/>
      <c r="J54" s="162"/>
      <c r="K54" s="162"/>
      <c r="L54" s="163"/>
      <c r="M54" s="345"/>
      <c r="N54" s="162"/>
      <c r="O54" s="162"/>
      <c r="P54" s="162"/>
      <c r="Q54" s="162"/>
      <c r="R54" s="162"/>
      <c r="S54" s="162"/>
      <c r="T54" s="162"/>
      <c r="U54" s="162"/>
      <c r="V54" s="162"/>
      <c r="W54" s="162"/>
      <c r="X54" s="162"/>
      <c r="Y54" s="162"/>
      <c r="Z54" s="162"/>
      <c r="AA54" s="162"/>
      <c r="AB54" s="162"/>
      <c r="AC54" s="162"/>
      <c r="AD54" s="162"/>
    </row>
    <row r="55" spans="1:30">
      <c r="A55" s="93"/>
      <c r="B55" s="28"/>
      <c r="C55" s="28"/>
      <c r="D55" s="171"/>
      <c r="E55" s="2"/>
      <c r="F55" s="89"/>
      <c r="G55" s="148"/>
      <c r="H55" s="162"/>
      <c r="I55" s="162"/>
      <c r="J55" s="162"/>
      <c r="K55" s="162"/>
      <c r="L55" s="163"/>
      <c r="M55" s="345"/>
      <c r="N55" s="162"/>
      <c r="O55" s="162"/>
      <c r="P55" s="162"/>
      <c r="Q55" s="162"/>
      <c r="R55" s="162"/>
      <c r="S55" s="162"/>
      <c r="T55" s="162"/>
      <c r="U55" s="162"/>
      <c r="V55" s="162"/>
      <c r="W55" s="162"/>
      <c r="X55" s="162"/>
      <c r="Y55" s="162"/>
      <c r="Z55" s="162"/>
      <c r="AA55" s="162"/>
      <c r="AB55" s="162"/>
      <c r="AC55" s="162"/>
      <c r="AD55" s="162"/>
    </row>
    <row r="56" spans="1:30">
      <c r="A56" s="93"/>
      <c r="B56" s="28"/>
      <c r="C56" s="28"/>
      <c r="D56" s="171"/>
      <c r="E56" s="2"/>
      <c r="F56" s="89"/>
      <c r="G56" s="148"/>
      <c r="H56" s="162"/>
      <c r="I56" s="162"/>
      <c r="J56" s="162"/>
      <c r="K56" s="162"/>
      <c r="L56" s="163"/>
      <c r="M56" s="345"/>
      <c r="N56" s="162"/>
      <c r="O56" s="162"/>
      <c r="P56" s="162"/>
      <c r="Q56" s="162"/>
      <c r="R56" s="162"/>
      <c r="S56" s="162"/>
      <c r="T56" s="162"/>
      <c r="U56" s="162"/>
      <c r="V56" s="162"/>
      <c r="W56" s="162"/>
      <c r="X56" s="162"/>
      <c r="Y56" s="162"/>
      <c r="Z56" s="162"/>
      <c r="AA56" s="162"/>
      <c r="AB56" s="162"/>
      <c r="AC56" s="162"/>
      <c r="AD56" s="162"/>
    </row>
    <row r="57" spans="1:30">
      <c r="A57" s="93"/>
      <c r="B57" s="28"/>
      <c r="C57" s="28"/>
      <c r="D57" s="171"/>
      <c r="E57" s="2"/>
      <c r="F57" s="89"/>
      <c r="G57" s="148"/>
      <c r="H57" s="162"/>
      <c r="I57" s="162"/>
      <c r="J57" s="162"/>
      <c r="K57" s="162"/>
      <c r="L57" s="163"/>
      <c r="M57" s="345"/>
      <c r="N57" s="162"/>
      <c r="O57" s="162"/>
      <c r="P57" s="162"/>
      <c r="Q57" s="162"/>
      <c r="R57" s="162"/>
      <c r="S57" s="162"/>
      <c r="T57" s="162"/>
      <c r="U57" s="162"/>
      <c r="V57" s="162"/>
      <c r="W57" s="162"/>
      <c r="X57" s="162"/>
      <c r="Y57" s="162"/>
      <c r="Z57" s="162"/>
      <c r="AA57" s="162"/>
      <c r="AB57" s="162"/>
      <c r="AC57" s="162"/>
      <c r="AD57" s="162"/>
    </row>
    <row r="58" spans="1:30">
      <c r="A58" s="93"/>
      <c r="B58" s="28"/>
      <c r="C58" s="28"/>
      <c r="D58" s="171"/>
      <c r="E58" s="2"/>
      <c r="F58" s="89"/>
      <c r="G58" s="148"/>
      <c r="H58" s="162"/>
      <c r="I58" s="162"/>
      <c r="J58" s="162"/>
      <c r="K58" s="162"/>
      <c r="L58" s="163"/>
      <c r="M58" s="345"/>
      <c r="N58" s="162"/>
      <c r="O58" s="162"/>
      <c r="P58" s="162"/>
      <c r="Q58" s="162"/>
      <c r="R58" s="162"/>
      <c r="S58" s="162"/>
      <c r="T58" s="162"/>
      <c r="U58" s="162"/>
      <c r="V58" s="162"/>
      <c r="W58" s="162"/>
      <c r="X58" s="162"/>
      <c r="Y58" s="162"/>
      <c r="Z58" s="162"/>
      <c r="AA58" s="162"/>
      <c r="AB58" s="162"/>
      <c r="AC58" s="162"/>
      <c r="AD58" s="162"/>
    </row>
    <row r="59" spans="1:30">
      <c r="A59" s="93"/>
      <c r="B59" s="28"/>
      <c r="C59" s="28"/>
      <c r="D59" s="171"/>
      <c r="E59" s="2"/>
      <c r="F59" s="89"/>
      <c r="G59" s="148"/>
      <c r="H59" s="162"/>
      <c r="I59" s="162"/>
      <c r="J59" s="162"/>
      <c r="K59" s="162"/>
      <c r="L59" s="163"/>
      <c r="M59" s="345"/>
      <c r="N59" s="162"/>
      <c r="O59" s="162"/>
      <c r="P59" s="162"/>
      <c r="Q59" s="162"/>
      <c r="R59" s="162"/>
      <c r="S59" s="162"/>
      <c r="T59" s="162"/>
      <c r="U59" s="162"/>
      <c r="V59" s="162"/>
      <c r="W59" s="162"/>
      <c r="X59" s="162"/>
      <c r="Y59" s="162"/>
      <c r="Z59" s="162"/>
      <c r="AA59" s="162"/>
      <c r="AB59" s="162"/>
      <c r="AC59" s="162"/>
      <c r="AD59" s="162"/>
    </row>
    <row r="60" spans="1:30">
      <c r="A60" s="93"/>
      <c r="B60" s="28"/>
      <c r="C60" s="28"/>
      <c r="D60" s="171"/>
      <c r="E60" s="2"/>
      <c r="F60" s="89"/>
      <c r="G60" s="148"/>
      <c r="H60" s="162"/>
      <c r="I60" s="162"/>
      <c r="J60" s="162"/>
      <c r="K60" s="162"/>
      <c r="L60" s="163"/>
      <c r="M60" s="345"/>
      <c r="N60" s="162"/>
      <c r="O60" s="162"/>
      <c r="P60" s="162"/>
      <c r="Q60" s="162"/>
      <c r="R60" s="162"/>
      <c r="S60" s="162"/>
      <c r="T60" s="162"/>
      <c r="U60" s="162"/>
      <c r="V60" s="162"/>
      <c r="W60" s="162"/>
      <c r="X60" s="162"/>
      <c r="Y60" s="162"/>
      <c r="Z60" s="162"/>
      <c r="AA60" s="162"/>
      <c r="AB60" s="162"/>
      <c r="AC60" s="162"/>
      <c r="AD60" s="162"/>
    </row>
    <row r="61" spans="1:30">
      <c r="A61" s="93"/>
      <c r="B61" s="28"/>
      <c r="C61" s="28"/>
      <c r="D61" s="171"/>
      <c r="E61" s="2"/>
      <c r="F61" s="89"/>
      <c r="G61" s="148"/>
      <c r="H61" s="162"/>
      <c r="I61" s="162"/>
      <c r="J61" s="162"/>
      <c r="K61" s="162"/>
      <c r="L61" s="163"/>
      <c r="M61" s="345"/>
      <c r="N61" s="162"/>
      <c r="O61" s="162"/>
      <c r="P61" s="162"/>
      <c r="Q61" s="162"/>
      <c r="R61" s="162"/>
      <c r="S61" s="162"/>
      <c r="T61" s="162"/>
      <c r="U61" s="162"/>
      <c r="V61" s="162"/>
      <c r="W61" s="162"/>
      <c r="X61" s="162"/>
      <c r="Y61" s="162"/>
      <c r="Z61" s="162"/>
      <c r="AA61" s="162"/>
      <c r="AB61" s="162"/>
      <c r="AC61" s="162"/>
      <c r="AD61" s="162"/>
    </row>
    <row r="62" spans="1:30">
      <c r="A62" s="93"/>
      <c r="B62" s="28"/>
      <c r="C62" s="28"/>
      <c r="D62" s="171"/>
      <c r="E62" s="2"/>
      <c r="F62" s="89"/>
      <c r="G62" s="148"/>
      <c r="H62" s="162"/>
      <c r="I62" s="162"/>
      <c r="J62" s="162"/>
      <c r="K62" s="162"/>
      <c r="L62" s="163"/>
      <c r="M62" s="345"/>
      <c r="N62" s="162"/>
      <c r="O62" s="162"/>
      <c r="P62" s="162"/>
      <c r="Q62" s="162"/>
      <c r="R62" s="162"/>
      <c r="S62" s="162"/>
      <c r="T62" s="162"/>
      <c r="U62" s="162"/>
      <c r="V62" s="162"/>
      <c r="W62" s="162"/>
      <c r="X62" s="162"/>
      <c r="Y62" s="162"/>
      <c r="Z62" s="162"/>
      <c r="AA62" s="162"/>
      <c r="AB62" s="162"/>
      <c r="AC62" s="162"/>
      <c r="AD62" s="162"/>
    </row>
    <row r="63" spans="1:30">
      <c r="A63" s="93"/>
      <c r="B63" s="28"/>
      <c r="C63" s="28"/>
      <c r="D63" s="171"/>
      <c r="E63" s="2"/>
      <c r="F63" s="89"/>
      <c r="G63" s="148"/>
      <c r="H63" s="162"/>
      <c r="I63" s="162"/>
      <c r="J63" s="162"/>
      <c r="K63" s="162"/>
      <c r="L63" s="163"/>
      <c r="M63" s="345"/>
      <c r="N63" s="162"/>
      <c r="O63" s="162"/>
      <c r="P63" s="162"/>
      <c r="Q63" s="162"/>
      <c r="R63" s="162"/>
      <c r="S63" s="162"/>
      <c r="T63" s="162"/>
      <c r="U63" s="162"/>
      <c r="V63" s="162"/>
      <c r="W63" s="162"/>
      <c r="X63" s="162"/>
      <c r="Y63" s="162"/>
      <c r="Z63" s="162"/>
      <c r="AA63" s="162"/>
      <c r="AB63" s="162"/>
      <c r="AC63" s="162"/>
      <c r="AD63" s="162"/>
    </row>
    <row r="64" spans="1:30">
      <c r="A64" s="93"/>
      <c r="B64" s="28"/>
      <c r="C64" s="28"/>
      <c r="D64" s="171"/>
      <c r="E64" s="2"/>
      <c r="F64" s="89"/>
      <c r="G64" s="148"/>
      <c r="H64" s="162"/>
      <c r="I64" s="162"/>
      <c r="J64" s="162"/>
      <c r="K64" s="162"/>
      <c r="L64" s="163"/>
      <c r="M64" s="345"/>
      <c r="N64" s="162"/>
      <c r="O64" s="162"/>
      <c r="P64" s="162"/>
      <c r="Q64" s="162"/>
      <c r="R64" s="162"/>
      <c r="S64" s="162"/>
      <c r="T64" s="162"/>
      <c r="U64" s="162"/>
      <c r="V64" s="162"/>
      <c r="W64" s="162"/>
      <c r="X64" s="162"/>
      <c r="Y64" s="162"/>
      <c r="Z64" s="162"/>
      <c r="AA64" s="162"/>
      <c r="AB64" s="162"/>
      <c r="AC64" s="162"/>
      <c r="AD64" s="162"/>
    </row>
    <row r="65" spans="1:30">
      <c r="A65" s="93"/>
      <c r="B65" s="28"/>
      <c r="C65" s="28"/>
      <c r="D65" s="171"/>
      <c r="E65" s="2"/>
      <c r="F65" s="89"/>
      <c r="G65" s="148"/>
      <c r="H65" s="162"/>
      <c r="I65" s="162"/>
      <c r="J65" s="162"/>
      <c r="K65" s="162"/>
      <c r="L65" s="163"/>
      <c r="M65" s="345"/>
      <c r="N65" s="162"/>
      <c r="O65" s="162"/>
      <c r="P65" s="162"/>
      <c r="Q65" s="162"/>
      <c r="R65" s="162"/>
      <c r="S65" s="162"/>
      <c r="T65" s="162"/>
      <c r="U65" s="162"/>
      <c r="V65" s="162"/>
      <c r="W65" s="162"/>
      <c r="X65" s="162"/>
      <c r="Y65" s="162"/>
      <c r="Z65" s="162"/>
      <c r="AA65" s="162"/>
      <c r="AB65" s="162"/>
      <c r="AC65" s="162"/>
      <c r="AD65" s="162"/>
    </row>
    <row r="66" spans="1:30">
      <c r="A66" s="93"/>
      <c r="B66" s="28"/>
      <c r="C66" s="28"/>
      <c r="D66" s="171"/>
      <c r="E66" s="2"/>
      <c r="F66" s="89"/>
      <c r="G66" s="148"/>
      <c r="H66" s="162"/>
      <c r="I66" s="162"/>
      <c r="J66" s="162"/>
      <c r="K66" s="162"/>
      <c r="L66" s="163"/>
      <c r="M66" s="345"/>
      <c r="N66" s="162"/>
      <c r="O66" s="162"/>
      <c r="P66" s="162"/>
      <c r="Q66" s="162"/>
      <c r="R66" s="162"/>
      <c r="S66" s="162"/>
      <c r="T66" s="162"/>
      <c r="U66" s="162"/>
      <c r="V66" s="162"/>
      <c r="W66" s="162"/>
      <c r="X66" s="162"/>
      <c r="Y66" s="162"/>
      <c r="Z66" s="162"/>
      <c r="AA66" s="162"/>
      <c r="AB66" s="162"/>
      <c r="AC66" s="162"/>
      <c r="AD66" s="162"/>
    </row>
    <row r="67" spans="1:30">
      <c r="A67" s="93"/>
      <c r="B67" s="28"/>
      <c r="C67" s="28"/>
      <c r="D67" s="171"/>
      <c r="E67" s="2"/>
      <c r="F67" s="89"/>
      <c r="G67" s="148"/>
      <c r="H67" s="162"/>
      <c r="I67" s="162"/>
      <c r="J67" s="162"/>
      <c r="K67" s="162"/>
      <c r="L67" s="163"/>
      <c r="M67" s="345"/>
      <c r="N67" s="162"/>
      <c r="O67" s="162"/>
      <c r="P67" s="162"/>
      <c r="Q67" s="162"/>
      <c r="R67" s="162"/>
      <c r="S67" s="162"/>
      <c r="T67" s="162"/>
      <c r="U67" s="162"/>
      <c r="V67" s="162"/>
      <c r="W67" s="162"/>
      <c r="X67" s="162"/>
      <c r="Y67" s="162"/>
      <c r="Z67" s="162"/>
      <c r="AA67" s="162"/>
      <c r="AB67" s="162"/>
      <c r="AC67" s="162"/>
      <c r="AD67" s="162"/>
    </row>
    <row r="68" spans="1:30">
      <c r="A68" s="93"/>
      <c r="B68" s="28"/>
      <c r="C68" s="28"/>
      <c r="D68" s="171"/>
      <c r="E68" s="2"/>
      <c r="F68" s="89"/>
      <c r="G68" s="148"/>
      <c r="H68" s="162"/>
      <c r="I68" s="162"/>
      <c r="J68" s="162"/>
      <c r="K68" s="162"/>
      <c r="L68" s="163"/>
      <c r="M68" s="345"/>
      <c r="N68" s="162"/>
      <c r="O68" s="162"/>
      <c r="P68" s="162"/>
      <c r="Q68" s="162"/>
      <c r="R68" s="162"/>
      <c r="S68" s="162"/>
      <c r="T68" s="162"/>
      <c r="U68" s="162"/>
      <c r="V68" s="162"/>
      <c r="W68" s="162"/>
      <c r="X68" s="162"/>
      <c r="Y68" s="162"/>
      <c r="Z68" s="162"/>
      <c r="AA68" s="162"/>
      <c r="AB68" s="162"/>
      <c r="AC68" s="162"/>
      <c r="AD68" s="162"/>
    </row>
    <row r="69" spans="1:30">
      <c r="A69" s="93"/>
      <c r="B69" s="28"/>
      <c r="C69" s="28"/>
      <c r="D69" s="171"/>
      <c r="E69" s="2"/>
      <c r="F69" s="89"/>
      <c r="G69" s="148"/>
      <c r="H69" s="162"/>
      <c r="I69" s="162"/>
      <c r="J69" s="162"/>
      <c r="K69" s="162"/>
      <c r="L69" s="163"/>
      <c r="M69" s="345"/>
      <c r="N69" s="162"/>
      <c r="O69" s="162"/>
      <c r="P69" s="162"/>
      <c r="Q69" s="162"/>
      <c r="R69" s="162"/>
      <c r="S69" s="162"/>
      <c r="T69" s="162"/>
      <c r="U69" s="162"/>
      <c r="V69" s="162"/>
      <c r="W69" s="162"/>
      <c r="X69" s="162"/>
      <c r="Y69" s="162"/>
      <c r="Z69" s="162"/>
      <c r="AA69" s="162"/>
      <c r="AB69" s="162"/>
      <c r="AC69" s="162"/>
      <c r="AD69" s="162"/>
    </row>
    <row r="70" spans="1:30">
      <c r="A70" s="93"/>
      <c r="B70" s="28"/>
      <c r="C70" s="28"/>
      <c r="D70" s="171"/>
      <c r="E70" s="2"/>
      <c r="F70" s="89"/>
      <c r="G70" s="148"/>
      <c r="H70" s="162"/>
      <c r="I70" s="162"/>
      <c r="J70" s="162"/>
      <c r="K70" s="162"/>
      <c r="L70" s="163"/>
      <c r="M70" s="345"/>
      <c r="N70" s="162"/>
      <c r="O70" s="162"/>
      <c r="P70" s="162"/>
      <c r="Q70" s="162"/>
      <c r="R70" s="162"/>
      <c r="S70" s="162"/>
      <c r="T70" s="162"/>
      <c r="U70" s="162"/>
      <c r="V70" s="162"/>
      <c r="W70" s="162"/>
      <c r="X70" s="162"/>
      <c r="Y70" s="162"/>
      <c r="Z70" s="162"/>
      <c r="AA70" s="162"/>
      <c r="AB70" s="162"/>
      <c r="AC70" s="162"/>
      <c r="AD70" s="162"/>
    </row>
    <row r="71" spans="1:30">
      <c r="A71" s="93"/>
      <c r="B71" s="28"/>
      <c r="C71" s="28"/>
      <c r="D71" s="171"/>
      <c r="E71" s="2"/>
      <c r="F71" s="89"/>
      <c r="G71" s="148"/>
      <c r="H71" s="162"/>
      <c r="I71" s="162"/>
      <c r="J71" s="162"/>
      <c r="K71" s="162"/>
      <c r="L71" s="163"/>
      <c r="M71" s="345"/>
      <c r="N71" s="162"/>
      <c r="O71" s="162"/>
      <c r="P71" s="162"/>
      <c r="Q71" s="162"/>
      <c r="R71" s="162"/>
      <c r="S71" s="162"/>
      <c r="T71" s="162"/>
      <c r="U71" s="162"/>
      <c r="V71" s="162"/>
      <c r="W71" s="162"/>
      <c r="X71" s="162"/>
      <c r="Y71" s="162"/>
      <c r="Z71" s="162"/>
      <c r="AA71" s="162"/>
      <c r="AB71" s="162"/>
      <c r="AC71" s="162"/>
      <c r="AD71" s="162"/>
    </row>
    <row r="72" spans="1:30">
      <c r="A72" s="93"/>
      <c r="B72" s="28"/>
      <c r="C72" s="28"/>
      <c r="D72" s="171"/>
      <c r="E72" s="2"/>
      <c r="F72" s="89"/>
      <c r="G72" s="148"/>
      <c r="H72" s="162"/>
      <c r="I72" s="162"/>
      <c r="J72" s="162"/>
      <c r="K72" s="162"/>
      <c r="L72" s="163"/>
      <c r="M72" s="345"/>
      <c r="N72" s="162"/>
      <c r="O72" s="162"/>
      <c r="P72" s="162"/>
      <c r="Q72" s="162"/>
      <c r="R72" s="162"/>
      <c r="S72" s="162"/>
      <c r="T72" s="162"/>
      <c r="U72" s="162"/>
      <c r="V72" s="162"/>
      <c r="W72" s="162"/>
      <c r="X72" s="162"/>
      <c r="Y72" s="162"/>
      <c r="Z72" s="162"/>
      <c r="AA72" s="162"/>
      <c r="AB72" s="162"/>
      <c r="AC72" s="162"/>
      <c r="AD72" s="162"/>
    </row>
    <row r="73" spans="1:30">
      <c r="A73" s="93"/>
      <c r="B73" s="28"/>
      <c r="C73" s="28"/>
      <c r="D73" s="171"/>
      <c r="E73" s="2"/>
      <c r="F73" s="89"/>
      <c r="G73" s="148"/>
      <c r="H73" s="162"/>
      <c r="I73" s="162"/>
      <c r="J73" s="162"/>
      <c r="K73" s="162"/>
      <c r="L73" s="163"/>
      <c r="M73" s="345"/>
      <c r="N73" s="162"/>
      <c r="O73" s="162"/>
      <c r="P73" s="162"/>
      <c r="Q73" s="162"/>
      <c r="R73" s="162"/>
      <c r="S73" s="162"/>
      <c r="T73" s="162"/>
      <c r="U73" s="162"/>
      <c r="V73" s="162"/>
      <c r="W73" s="162"/>
      <c r="X73" s="162"/>
      <c r="Y73" s="162"/>
      <c r="Z73" s="162"/>
      <c r="AA73" s="162"/>
      <c r="AB73" s="162"/>
      <c r="AC73" s="162"/>
      <c r="AD73" s="162"/>
    </row>
    <row r="74" spans="1:30">
      <c r="A74" s="93"/>
      <c r="B74" s="28"/>
      <c r="C74" s="28"/>
      <c r="D74" s="171"/>
      <c r="E74" s="2"/>
      <c r="F74" s="89"/>
      <c r="G74" s="148"/>
      <c r="H74" s="162"/>
      <c r="I74" s="162"/>
      <c r="J74" s="162"/>
      <c r="K74" s="162"/>
      <c r="L74" s="163"/>
      <c r="M74" s="345"/>
      <c r="N74" s="162"/>
      <c r="O74" s="162"/>
      <c r="P74" s="162"/>
      <c r="Q74" s="162"/>
      <c r="R74" s="162"/>
      <c r="S74" s="162"/>
      <c r="T74" s="162"/>
      <c r="U74" s="162"/>
      <c r="V74" s="162"/>
      <c r="W74" s="162"/>
      <c r="X74" s="162"/>
      <c r="Y74" s="162"/>
      <c r="Z74" s="162"/>
      <c r="AA74" s="162"/>
      <c r="AB74" s="162"/>
      <c r="AC74" s="162"/>
      <c r="AD74" s="162"/>
    </row>
    <row r="75" spans="1:30">
      <c r="A75" s="93"/>
      <c r="B75" s="28"/>
      <c r="C75" s="28"/>
      <c r="D75" s="171"/>
      <c r="E75" s="2"/>
      <c r="F75" s="89"/>
      <c r="G75" s="148"/>
      <c r="H75" s="162"/>
      <c r="I75" s="162"/>
      <c r="J75" s="162"/>
      <c r="K75" s="162"/>
      <c r="L75" s="163"/>
      <c r="M75" s="345"/>
      <c r="N75" s="162"/>
      <c r="O75" s="162"/>
      <c r="P75" s="162"/>
      <c r="Q75" s="162"/>
      <c r="R75" s="162"/>
      <c r="S75" s="162"/>
      <c r="T75" s="162"/>
      <c r="U75" s="162"/>
      <c r="V75" s="162"/>
      <c r="W75" s="162"/>
      <c r="X75" s="162"/>
      <c r="Y75" s="162"/>
      <c r="Z75" s="162"/>
      <c r="AA75" s="162"/>
      <c r="AB75" s="162"/>
      <c r="AC75" s="162"/>
      <c r="AD75" s="162"/>
    </row>
    <row r="76" spans="1:30">
      <c r="A76" s="93"/>
      <c r="B76" s="28"/>
      <c r="C76" s="28"/>
      <c r="D76" s="171"/>
      <c r="E76" s="2"/>
      <c r="F76" s="89"/>
      <c r="G76" s="148"/>
      <c r="H76" s="162"/>
      <c r="I76" s="162"/>
      <c r="J76" s="162"/>
      <c r="K76" s="162"/>
      <c r="L76" s="163"/>
      <c r="M76" s="345"/>
      <c r="N76" s="162"/>
      <c r="O76" s="162"/>
      <c r="P76" s="162"/>
      <c r="Q76" s="162"/>
      <c r="R76" s="162"/>
      <c r="S76" s="162"/>
      <c r="T76" s="162"/>
      <c r="U76" s="162"/>
      <c r="V76" s="162"/>
      <c r="W76" s="162"/>
      <c r="X76" s="162"/>
      <c r="Y76" s="162"/>
      <c r="Z76" s="162"/>
      <c r="AA76" s="162"/>
      <c r="AB76" s="162"/>
      <c r="AC76" s="162"/>
      <c r="AD76" s="162"/>
    </row>
    <row r="77" spans="1:30">
      <c r="A77" s="93"/>
      <c r="B77" s="28"/>
      <c r="C77" s="28"/>
      <c r="D77" s="171"/>
      <c r="E77" s="2"/>
      <c r="F77" s="89"/>
      <c r="G77" s="148"/>
      <c r="H77" s="162"/>
      <c r="I77" s="162"/>
      <c r="J77" s="162"/>
      <c r="K77" s="162"/>
      <c r="L77" s="163"/>
      <c r="M77" s="345"/>
      <c r="N77" s="162"/>
      <c r="O77" s="162"/>
      <c r="P77" s="162"/>
      <c r="Q77" s="162"/>
      <c r="R77" s="162"/>
      <c r="S77" s="162"/>
      <c r="T77" s="162"/>
      <c r="U77" s="162"/>
      <c r="V77" s="162"/>
      <c r="W77" s="162"/>
      <c r="X77" s="162"/>
      <c r="Y77" s="162"/>
      <c r="Z77" s="162"/>
      <c r="AA77" s="162"/>
      <c r="AB77" s="162"/>
      <c r="AC77" s="162"/>
      <c r="AD77" s="162"/>
    </row>
    <row r="78" spans="1:30">
      <c r="A78" s="93"/>
      <c r="B78" s="28"/>
      <c r="C78" s="28"/>
      <c r="D78" s="171"/>
      <c r="E78" s="2"/>
      <c r="F78" s="89"/>
      <c r="G78" s="148"/>
      <c r="H78" s="162"/>
      <c r="I78" s="162"/>
      <c r="J78" s="162"/>
      <c r="K78" s="162"/>
      <c r="L78" s="163"/>
      <c r="M78" s="345"/>
      <c r="N78" s="162"/>
      <c r="O78" s="162"/>
      <c r="P78" s="162"/>
      <c r="Q78" s="162"/>
      <c r="R78" s="162"/>
      <c r="S78" s="162"/>
      <c r="T78" s="162"/>
      <c r="U78" s="162"/>
      <c r="V78" s="162"/>
      <c r="W78" s="162"/>
      <c r="X78" s="162"/>
      <c r="Y78" s="162"/>
      <c r="Z78" s="162"/>
      <c r="AA78" s="162"/>
      <c r="AB78" s="162"/>
      <c r="AC78" s="162"/>
      <c r="AD78" s="162"/>
    </row>
    <row r="79" spans="1:30">
      <c r="A79" s="93"/>
      <c r="B79" s="28"/>
      <c r="C79" s="28"/>
      <c r="D79" s="171"/>
      <c r="E79" s="2"/>
      <c r="F79" s="89"/>
      <c r="G79" s="148"/>
      <c r="H79" s="162"/>
      <c r="I79" s="162"/>
      <c r="J79" s="162"/>
      <c r="K79" s="162"/>
      <c r="L79" s="163"/>
      <c r="M79" s="345"/>
      <c r="N79" s="162"/>
      <c r="O79" s="162"/>
      <c r="P79" s="162"/>
      <c r="Q79" s="162"/>
      <c r="R79" s="162"/>
      <c r="S79" s="162"/>
      <c r="T79" s="162"/>
      <c r="U79" s="162"/>
      <c r="V79" s="162"/>
      <c r="W79" s="162"/>
      <c r="X79" s="162"/>
      <c r="Y79" s="162"/>
      <c r="Z79" s="162"/>
      <c r="AA79" s="162"/>
      <c r="AB79" s="162"/>
      <c r="AC79" s="162"/>
      <c r="AD79" s="162"/>
    </row>
    <row r="80" spans="1:30">
      <c r="A80" s="93"/>
      <c r="B80" s="28"/>
      <c r="C80" s="28"/>
      <c r="D80" s="171"/>
      <c r="E80" s="2"/>
      <c r="F80" s="89"/>
      <c r="G80" s="148"/>
      <c r="H80" s="162"/>
      <c r="I80" s="162"/>
      <c r="J80" s="162"/>
      <c r="K80" s="162"/>
      <c r="L80" s="163"/>
      <c r="M80" s="345"/>
      <c r="N80" s="162"/>
      <c r="O80" s="162"/>
      <c r="P80" s="162"/>
      <c r="Q80" s="162"/>
      <c r="R80" s="162"/>
      <c r="S80" s="162"/>
      <c r="T80" s="162"/>
      <c r="U80" s="162"/>
      <c r="V80" s="162"/>
      <c r="W80" s="162"/>
      <c r="X80" s="162"/>
      <c r="Y80" s="162"/>
      <c r="Z80" s="162"/>
      <c r="AA80" s="162"/>
      <c r="AB80" s="162"/>
      <c r="AC80" s="162"/>
      <c r="AD80" s="162"/>
    </row>
    <row r="81" spans="1:30">
      <c r="A81" s="93"/>
      <c r="B81" s="28"/>
      <c r="C81" s="28"/>
      <c r="D81" s="171"/>
      <c r="E81" s="2"/>
      <c r="F81" s="89"/>
      <c r="G81" s="148"/>
      <c r="H81" s="162"/>
      <c r="I81" s="162"/>
      <c r="J81" s="162"/>
      <c r="K81" s="162"/>
      <c r="L81" s="163"/>
      <c r="M81" s="345"/>
      <c r="N81" s="162"/>
      <c r="O81" s="162"/>
      <c r="P81" s="162"/>
      <c r="Q81" s="162"/>
      <c r="R81" s="162"/>
      <c r="S81" s="162"/>
      <c r="T81" s="162"/>
      <c r="U81" s="162"/>
      <c r="V81" s="162"/>
      <c r="W81" s="162"/>
      <c r="X81" s="162"/>
      <c r="Y81" s="162"/>
      <c r="Z81" s="162"/>
      <c r="AA81" s="162"/>
      <c r="AB81" s="162"/>
      <c r="AC81" s="162"/>
      <c r="AD81" s="162"/>
    </row>
    <row r="82" spans="1:30">
      <c r="A82" s="93"/>
      <c r="B82" s="28"/>
      <c r="C82" s="28"/>
      <c r="D82" s="171"/>
      <c r="E82" s="2"/>
      <c r="F82" s="89"/>
      <c r="G82" s="148"/>
      <c r="H82" s="162"/>
      <c r="I82" s="162"/>
      <c r="J82" s="162"/>
      <c r="K82" s="162"/>
      <c r="L82" s="163"/>
      <c r="M82" s="345"/>
      <c r="N82" s="162"/>
      <c r="O82" s="162"/>
      <c r="P82" s="162"/>
      <c r="Q82" s="162"/>
      <c r="R82" s="162"/>
      <c r="S82" s="162"/>
      <c r="T82" s="162"/>
      <c r="U82" s="162"/>
      <c r="V82" s="162"/>
      <c r="W82" s="162"/>
      <c r="X82" s="162"/>
      <c r="Y82" s="162"/>
      <c r="Z82" s="162"/>
      <c r="AA82" s="162"/>
      <c r="AB82" s="162"/>
      <c r="AC82" s="162"/>
      <c r="AD82" s="162"/>
    </row>
    <row r="83" spans="1:30">
      <c r="A83" s="93"/>
      <c r="B83" s="28"/>
      <c r="C83" s="28"/>
      <c r="D83" s="171"/>
      <c r="E83" s="2"/>
      <c r="F83" s="89"/>
      <c r="G83" s="148"/>
      <c r="H83" s="162"/>
      <c r="I83" s="162"/>
      <c r="J83" s="162"/>
      <c r="K83" s="162"/>
      <c r="L83" s="163"/>
      <c r="M83" s="345"/>
      <c r="N83" s="162"/>
      <c r="O83" s="162"/>
      <c r="P83" s="162"/>
      <c r="Q83" s="162"/>
      <c r="R83" s="162"/>
      <c r="S83" s="162"/>
      <c r="T83" s="162"/>
      <c r="U83" s="162"/>
      <c r="V83" s="162"/>
      <c r="W83" s="162"/>
      <c r="X83" s="162"/>
      <c r="Y83" s="162"/>
      <c r="Z83" s="162"/>
      <c r="AA83" s="162"/>
      <c r="AB83" s="162"/>
      <c r="AC83" s="162"/>
      <c r="AD83" s="162"/>
    </row>
    <row r="84" spans="1:30">
      <c r="A84" s="93"/>
      <c r="B84" s="28"/>
      <c r="C84" s="28"/>
      <c r="D84" s="171"/>
      <c r="E84" s="2"/>
      <c r="F84" s="89"/>
      <c r="G84" s="148"/>
      <c r="H84" s="162"/>
      <c r="I84" s="162"/>
      <c r="J84" s="162"/>
      <c r="K84" s="162"/>
      <c r="L84" s="163"/>
      <c r="M84" s="345"/>
      <c r="N84" s="162"/>
      <c r="O84" s="162"/>
      <c r="P84" s="162"/>
      <c r="Q84" s="162"/>
      <c r="R84" s="162"/>
      <c r="S84" s="162"/>
      <c r="T84" s="162"/>
      <c r="U84" s="162"/>
      <c r="V84" s="162"/>
      <c r="W84" s="162"/>
      <c r="X84" s="162"/>
      <c r="Y84" s="162"/>
      <c r="Z84" s="162"/>
      <c r="AA84" s="162"/>
      <c r="AB84" s="162"/>
      <c r="AC84" s="162"/>
      <c r="AD84" s="162"/>
    </row>
    <row r="85" spans="1:30">
      <c r="A85" s="93"/>
      <c r="B85" s="28"/>
      <c r="C85" s="28"/>
      <c r="D85" s="171"/>
      <c r="E85" s="2"/>
      <c r="F85" s="89"/>
      <c r="G85" s="148"/>
      <c r="H85" s="162"/>
      <c r="I85" s="162"/>
      <c r="J85" s="162"/>
      <c r="K85" s="162"/>
      <c r="L85" s="163"/>
      <c r="M85" s="345"/>
      <c r="N85" s="162"/>
      <c r="O85" s="162"/>
      <c r="P85" s="162"/>
      <c r="Q85" s="162"/>
      <c r="R85" s="162"/>
      <c r="S85" s="162"/>
      <c r="T85" s="162"/>
      <c r="U85" s="162"/>
      <c r="V85" s="162"/>
      <c r="W85" s="162"/>
      <c r="X85" s="162"/>
      <c r="Y85" s="162"/>
      <c r="Z85" s="162"/>
      <c r="AA85" s="162"/>
      <c r="AB85" s="162"/>
      <c r="AC85" s="162"/>
      <c r="AD85" s="162"/>
    </row>
    <row r="86" spans="1:30">
      <c r="A86" s="93"/>
      <c r="B86" s="28"/>
      <c r="C86" s="28"/>
      <c r="D86" s="171"/>
      <c r="E86" s="2"/>
      <c r="F86" s="89"/>
      <c r="G86" s="148"/>
      <c r="H86" s="162"/>
      <c r="I86" s="162"/>
      <c r="J86" s="162"/>
      <c r="K86" s="162"/>
      <c r="L86" s="163"/>
      <c r="M86" s="345"/>
      <c r="N86" s="162"/>
      <c r="O86" s="162"/>
      <c r="P86" s="162"/>
      <c r="Q86" s="162"/>
      <c r="R86" s="162"/>
      <c r="S86" s="162"/>
      <c r="T86" s="162"/>
      <c r="U86" s="162"/>
      <c r="V86" s="162"/>
      <c r="W86" s="162"/>
      <c r="X86" s="162"/>
      <c r="Y86" s="162"/>
      <c r="Z86" s="162"/>
      <c r="AA86" s="162"/>
      <c r="AB86" s="162"/>
      <c r="AC86" s="162"/>
      <c r="AD86" s="162"/>
    </row>
    <row r="87" spans="1:30">
      <c r="A87" s="93"/>
      <c r="B87" s="28"/>
      <c r="C87" s="28"/>
      <c r="D87" s="171"/>
      <c r="E87" s="2"/>
      <c r="F87" s="89"/>
      <c r="G87" s="148"/>
      <c r="H87" s="162"/>
      <c r="I87" s="162"/>
      <c r="J87" s="162"/>
      <c r="K87" s="162"/>
      <c r="L87" s="163"/>
      <c r="M87" s="345"/>
      <c r="N87" s="162"/>
      <c r="O87" s="162"/>
      <c r="P87" s="162"/>
      <c r="Q87" s="162"/>
      <c r="R87" s="162"/>
      <c r="S87" s="162"/>
      <c r="T87" s="162"/>
      <c r="U87" s="162"/>
      <c r="V87" s="162"/>
      <c r="W87" s="162"/>
      <c r="X87" s="162"/>
      <c r="Y87" s="162"/>
      <c r="Z87" s="162"/>
      <c r="AA87" s="162"/>
      <c r="AB87" s="162"/>
      <c r="AC87" s="162"/>
      <c r="AD87" s="162"/>
    </row>
    <row r="88" spans="1:30">
      <c r="A88" s="93"/>
      <c r="B88" s="28"/>
      <c r="C88" s="28"/>
      <c r="D88" s="171"/>
      <c r="E88" s="2"/>
      <c r="F88" s="89"/>
      <c r="G88" s="148"/>
      <c r="H88" s="162"/>
      <c r="I88" s="162"/>
      <c r="J88" s="162"/>
      <c r="K88" s="162"/>
      <c r="L88" s="163"/>
      <c r="M88" s="345"/>
      <c r="N88" s="162"/>
      <c r="O88" s="162"/>
      <c r="P88" s="162"/>
      <c r="Q88" s="162"/>
      <c r="R88" s="162"/>
      <c r="S88" s="162"/>
      <c r="T88" s="162"/>
      <c r="U88" s="162"/>
      <c r="V88" s="162"/>
      <c r="W88" s="162"/>
      <c r="X88" s="162"/>
      <c r="Y88" s="162"/>
      <c r="Z88" s="162"/>
      <c r="AA88" s="162"/>
      <c r="AB88" s="162"/>
      <c r="AC88" s="162"/>
      <c r="AD88" s="162"/>
    </row>
    <row r="89" spans="1:30">
      <c r="A89" s="93"/>
      <c r="B89" s="28"/>
      <c r="C89" s="28"/>
      <c r="D89" s="171"/>
      <c r="E89" s="2"/>
      <c r="F89" s="89"/>
      <c r="G89" s="148"/>
      <c r="H89" s="162"/>
      <c r="I89" s="162"/>
      <c r="J89" s="162"/>
      <c r="K89" s="162"/>
      <c r="L89" s="163"/>
      <c r="M89" s="345"/>
      <c r="N89" s="162"/>
      <c r="O89" s="162"/>
      <c r="P89" s="162"/>
      <c r="Q89" s="162"/>
      <c r="R89" s="162"/>
      <c r="S89" s="162"/>
      <c r="T89" s="162"/>
      <c r="U89" s="162"/>
      <c r="V89" s="162"/>
      <c r="W89" s="162"/>
      <c r="X89" s="162"/>
      <c r="Y89" s="162"/>
      <c r="Z89" s="162"/>
      <c r="AA89" s="162"/>
      <c r="AB89" s="162"/>
      <c r="AC89" s="162"/>
      <c r="AD89" s="162"/>
    </row>
    <row r="90" spans="1:30">
      <c r="A90" s="93"/>
      <c r="B90" s="28"/>
      <c r="C90" s="28"/>
      <c r="D90" s="171"/>
      <c r="E90" s="2"/>
      <c r="F90" s="89"/>
      <c r="G90" s="148"/>
      <c r="H90" s="162"/>
      <c r="I90" s="162"/>
      <c r="J90" s="162"/>
      <c r="K90" s="162"/>
      <c r="L90" s="163"/>
      <c r="M90" s="345"/>
      <c r="N90" s="162"/>
      <c r="O90" s="162"/>
      <c r="P90" s="162"/>
      <c r="Q90" s="162"/>
      <c r="R90" s="162"/>
      <c r="S90" s="162"/>
      <c r="T90" s="162"/>
      <c r="U90" s="162"/>
      <c r="V90" s="162"/>
      <c r="W90" s="162"/>
      <c r="X90" s="162"/>
      <c r="Y90" s="162"/>
      <c r="Z90" s="162"/>
      <c r="AA90" s="162"/>
      <c r="AB90" s="162"/>
      <c r="AC90" s="162"/>
      <c r="AD90" s="162"/>
    </row>
    <row r="91" spans="1:30">
      <c r="A91" s="93"/>
      <c r="B91" s="28"/>
      <c r="C91" s="28"/>
      <c r="D91" s="171"/>
      <c r="E91" s="2"/>
      <c r="F91" s="89"/>
      <c r="G91" s="148"/>
      <c r="H91" s="162"/>
      <c r="I91" s="162"/>
      <c r="J91" s="162"/>
      <c r="K91" s="162"/>
      <c r="L91" s="163"/>
      <c r="M91" s="345"/>
      <c r="N91" s="162"/>
      <c r="O91" s="162"/>
      <c r="P91" s="162"/>
      <c r="Q91" s="162"/>
      <c r="R91" s="162"/>
      <c r="S91" s="162"/>
      <c r="T91" s="162"/>
      <c r="U91" s="162"/>
      <c r="V91" s="162"/>
      <c r="W91" s="162"/>
      <c r="X91" s="162"/>
      <c r="Y91" s="162"/>
      <c r="Z91" s="162"/>
      <c r="AA91" s="162"/>
      <c r="AB91" s="162"/>
      <c r="AC91" s="162"/>
      <c r="AD91" s="162"/>
    </row>
    <row r="92" spans="1:30">
      <c r="A92" s="93"/>
      <c r="B92" s="28"/>
      <c r="C92" s="28"/>
      <c r="D92" s="171"/>
      <c r="E92" s="2"/>
      <c r="F92" s="89"/>
      <c r="G92" s="148"/>
      <c r="H92" s="162"/>
      <c r="I92" s="162"/>
      <c r="J92" s="162"/>
      <c r="K92" s="162"/>
      <c r="L92" s="163"/>
      <c r="M92" s="345"/>
      <c r="N92" s="162"/>
      <c r="O92" s="162"/>
      <c r="P92" s="162"/>
      <c r="Q92" s="162"/>
      <c r="R92" s="162"/>
      <c r="S92" s="162"/>
      <c r="T92" s="162"/>
      <c r="U92" s="162"/>
      <c r="V92" s="162"/>
      <c r="W92" s="162"/>
      <c r="X92" s="162"/>
      <c r="Y92" s="162"/>
      <c r="Z92" s="162"/>
      <c r="AA92" s="162"/>
      <c r="AB92" s="162"/>
      <c r="AC92" s="162"/>
      <c r="AD92" s="162"/>
    </row>
    <row r="93" spans="1:30">
      <c r="A93" s="93"/>
      <c r="B93" s="28"/>
      <c r="C93" s="28"/>
      <c r="D93" s="171"/>
      <c r="E93" s="2"/>
      <c r="F93" s="89"/>
      <c r="G93" s="148"/>
      <c r="H93" s="162"/>
      <c r="I93" s="162"/>
      <c r="J93" s="162"/>
      <c r="K93" s="162"/>
      <c r="L93" s="163"/>
      <c r="M93" s="345"/>
      <c r="N93" s="162"/>
      <c r="O93" s="162"/>
      <c r="P93" s="162"/>
      <c r="Q93" s="162"/>
      <c r="R93" s="162"/>
      <c r="S93" s="162"/>
      <c r="T93" s="162"/>
      <c r="U93" s="162"/>
      <c r="V93" s="162"/>
      <c r="W93" s="162"/>
      <c r="X93" s="162"/>
      <c r="Y93" s="162"/>
      <c r="Z93" s="162"/>
      <c r="AA93" s="162"/>
      <c r="AB93" s="162"/>
      <c r="AC93" s="162"/>
      <c r="AD93" s="162"/>
    </row>
    <row r="94" spans="1:30">
      <c r="A94" s="93"/>
      <c r="B94" s="28"/>
      <c r="C94" s="28"/>
      <c r="D94" s="171"/>
      <c r="E94" s="2"/>
      <c r="F94" s="89"/>
      <c r="G94" s="148"/>
      <c r="H94" s="162"/>
      <c r="I94" s="162"/>
      <c r="J94" s="162"/>
      <c r="K94" s="162"/>
      <c r="L94" s="163"/>
      <c r="M94" s="345"/>
      <c r="N94" s="162"/>
      <c r="O94" s="162"/>
      <c r="P94" s="162"/>
      <c r="Q94" s="162"/>
      <c r="R94" s="162"/>
      <c r="S94" s="162"/>
      <c r="T94" s="162"/>
      <c r="U94" s="162"/>
      <c r="V94" s="162"/>
      <c r="W94" s="162"/>
      <c r="X94" s="162"/>
      <c r="Y94" s="162"/>
      <c r="Z94" s="162"/>
      <c r="AA94" s="162"/>
      <c r="AB94" s="162"/>
      <c r="AC94" s="162"/>
      <c r="AD94" s="162"/>
    </row>
    <row r="95" spans="1:30">
      <c r="A95" s="93"/>
      <c r="B95" s="28"/>
      <c r="C95" s="28"/>
      <c r="D95" s="171"/>
      <c r="E95" s="2"/>
      <c r="F95" s="89"/>
      <c r="G95" s="148"/>
      <c r="H95" s="162"/>
      <c r="I95" s="162"/>
      <c r="J95" s="162"/>
      <c r="K95" s="162"/>
      <c r="L95" s="163"/>
      <c r="M95" s="345"/>
      <c r="N95" s="162"/>
      <c r="O95" s="162"/>
      <c r="P95" s="162"/>
      <c r="Q95" s="162"/>
      <c r="R95" s="162"/>
      <c r="S95" s="162"/>
      <c r="T95" s="162"/>
      <c r="U95" s="162"/>
      <c r="V95" s="162"/>
      <c r="W95" s="162"/>
      <c r="X95" s="162"/>
      <c r="Y95" s="162"/>
      <c r="Z95" s="162"/>
      <c r="AA95" s="162"/>
      <c r="AB95" s="162"/>
      <c r="AC95" s="162"/>
      <c r="AD95" s="162"/>
    </row>
    <row r="96" spans="1:30">
      <c r="A96" s="93"/>
      <c r="B96" s="28"/>
      <c r="C96" s="28"/>
      <c r="D96" s="171"/>
      <c r="E96" s="2"/>
      <c r="F96" s="89"/>
      <c r="G96" s="148"/>
      <c r="H96" s="162"/>
      <c r="I96" s="162"/>
      <c r="J96" s="162"/>
      <c r="K96" s="162"/>
      <c r="L96" s="163"/>
      <c r="M96" s="345"/>
      <c r="N96" s="162"/>
      <c r="O96" s="162"/>
      <c r="P96" s="162"/>
      <c r="Q96" s="162"/>
      <c r="R96" s="162"/>
      <c r="S96" s="162"/>
      <c r="T96" s="162"/>
      <c r="U96" s="162"/>
      <c r="V96" s="162"/>
      <c r="W96" s="162"/>
      <c r="X96" s="162"/>
      <c r="Y96" s="162"/>
      <c r="Z96" s="162"/>
      <c r="AA96" s="162"/>
      <c r="AB96" s="162"/>
      <c r="AC96" s="162"/>
      <c r="AD96" s="162"/>
    </row>
    <row r="97" spans="1:30">
      <c r="A97" s="93"/>
      <c r="B97" s="28"/>
      <c r="C97" s="28"/>
      <c r="D97" s="171"/>
      <c r="E97" s="2"/>
      <c r="F97" s="89"/>
      <c r="G97" s="148"/>
      <c r="H97" s="162"/>
      <c r="I97" s="162"/>
      <c r="J97" s="162"/>
      <c r="K97" s="162"/>
      <c r="L97" s="163"/>
      <c r="M97" s="345"/>
      <c r="N97" s="162"/>
      <c r="O97" s="162"/>
      <c r="P97" s="162"/>
      <c r="Q97" s="162"/>
      <c r="R97" s="162"/>
      <c r="S97" s="162"/>
      <c r="T97" s="162"/>
      <c r="U97" s="162"/>
      <c r="V97" s="162"/>
      <c r="W97" s="162"/>
      <c r="X97" s="162"/>
      <c r="Y97" s="162"/>
      <c r="Z97" s="162"/>
      <c r="AA97" s="162"/>
      <c r="AB97" s="162"/>
      <c r="AC97" s="162"/>
      <c r="AD97" s="162"/>
    </row>
    <row r="98" spans="1:30">
      <c r="A98" s="93"/>
      <c r="B98" s="28"/>
      <c r="C98" s="28"/>
      <c r="D98" s="171"/>
      <c r="E98" s="2"/>
      <c r="F98" s="89"/>
      <c r="G98" s="148"/>
      <c r="H98" s="162"/>
      <c r="I98" s="162"/>
      <c r="J98" s="162"/>
      <c r="K98" s="162"/>
      <c r="L98" s="163"/>
      <c r="M98" s="345"/>
      <c r="N98" s="162"/>
      <c r="O98" s="162"/>
      <c r="P98" s="162"/>
      <c r="Q98" s="162"/>
      <c r="R98" s="162"/>
      <c r="S98" s="162"/>
      <c r="T98" s="162"/>
      <c r="U98" s="162"/>
      <c r="V98" s="162"/>
      <c r="W98" s="162"/>
      <c r="X98" s="162"/>
      <c r="Y98" s="162"/>
      <c r="Z98" s="162"/>
      <c r="AA98" s="162"/>
      <c r="AB98" s="162"/>
      <c r="AC98" s="162"/>
      <c r="AD98" s="162"/>
    </row>
    <row r="99" spans="1:30">
      <c r="A99" s="93"/>
      <c r="B99" s="28"/>
      <c r="C99" s="28"/>
      <c r="D99" s="171"/>
      <c r="E99" s="2"/>
      <c r="F99" s="89"/>
      <c r="G99" s="148"/>
      <c r="H99" s="162"/>
      <c r="I99" s="162"/>
      <c r="J99" s="162"/>
      <c r="K99" s="162"/>
      <c r="L99" s="163"/>
      <c r="M99" s="345"/>
      <c r="N99" s="162"/>
      <c r="O99" s="162"/>
      <c r="P99" s="162"/>
      <c r="Q99" s="162"/>
      <c r="R99" s="162"/>
      <c r="S99" s="162"/>
      <c r="T99" s="162"/>
      <c r="U99" s="162"/>
      <c r="V99" s="162"/>
      <c r="W99" s="162"/>
      <c r="X99" s="162"/>
      <c r="Y99" s="162"/>
      <c r="Z99" s="162"/>
      <c r="AA99" s="162"/>
      <c r="AB99" s="162"/>
      <c r="AC99" s="162"/>
      <c r="AD99" s="162"/>
    </row>
    <row r="100" spans="1:30">
      <c r="A100" s="93"/>
      <c r="B100" s="28"/>
      <c r="C100" s="28"/>
      <c r="D100" s="171"/>
      <c r="E100" s="2"/>
      <c r="F100" s="89"/>
      <c r="G100" s="148"/>
      <c r="H100" s="162"/>
      <c r="I100" s="162"/>
      <c r="J100" s="162"/>
      <c r="K100" s="162"/>
      <c r="L100" s="163"/>
      <c r="M100" s="345"/>
      <c r="N100" s="162"/>
      <c r="O100" s="162"/>
      <c r="P100" s="162"/>
      <c r="Q100" s="162"/>
      <c r="R100" s="162"/>
      <c r="S100" s="162"/>
      <c r="T100" s="162"/>
      <c r="U100" s="162"/>
      <c r="V100" s="162"/>
      <c r="W100" s="162"/>
      <c r="X100" s="162"/>
      <c r="Y100" s="162"/>
      <c r="Z100" s="162"/>
      <c r="AA100" s="162"/>
      <c r="AB100" s="162"/>
      <c r="AC100" s="162"/>
      <c r="AD100" s="162"/>
    </row>
    <row r="101" spans="1:30">
      <c r="A101" s="93"/>
      <c r="B101" s="28"/>
      <c r="C101" s="28"/>
      <c r="D101" s="171"/>
      <c r="E101" s="2"/>
      <c r="F101" s="89"/>
      <c r="G101" s="148"/>
      <c r="H101" s="162"/>
      <c r="I101" s="162"/>
      <c r="J101" s="162"/>
      <c r="K101" s="162"/>
      <c r="L101" s="163"/>
      <c r="M101" s="345"/>
      <c r="N101" s="162"/>
      <c r="O101" s="162"/>
      <c r="P101" s="162"/>
      <c r="Q101" s="162"/>
      <c r="R101" s="162"/>
      <c r="S101" s="162"/>
      <c r="T101" s="162"/>
      <c r="U101" s="162"/>
      <c r="V101" s="162"/>
      <c r="W101" s="162"/>
      <c r="X101" s="162"/>
      <c r="Y101" s="162"/>
      <c r="Z101" s="162"/>
      <c r="AA101" s="162"/>
      <c r="AB101" s="162"/>
      <c r="AC101" s="162"/>
      <c r="AD101" s="162"/>
    </row>
    <row r="102" spans="1:30">
      <c r="A102" s="93"/>
      <c r="B102" s="28"/>
      <c r="C102" s="28"/>
      <c r="D102" s="171"/>
      <c r="E102" s="2"/>
      <c r="F102" s="89"/>
      <c r="G102" s="148"/>
      <c r="H102" s="162"/>
      <c r="I102" s="162"/>
      <c r="J102" s="162"/>
      <c r="K102" s="162"/>
      <c r="L102" s="163"/>
      <c r="M102" s="345"/>
      <c r="N102" s="162"/>
      <c r="O102" s="162"/>
      <c r="P102" s="162"/>
      <c r="Q102" s="162"/>
      <c r="R102" s="162"/>
      <c r="S102" s="162"/>
      <c r="T102" s="162"/>
      <c r="U102" s="162"/>
      <c r="V102" s="162"/>
      <c r="W102" s="162"/>
      <c r="X102" s="162"/>
      <c r="Y102" s="162"/>
      <c r="Z102" s="162"/>
      <c r="AA102" s="162"/>
      <c r="AB102" s="162"/>
      <c r="AC102" s="162"/>
      <c r="AD102" s="162"/>
    </row>
    <row r="103" spans="1:30">
      <c r="A103" s="93"/>
      <c r="B103" s="28"/>
      <c r="C103" s="28"/>
      <c r="D103" s="171"/>
      <c r="E103" s="2"/>
      <c r="F103" s="89"/>
      <c r="G103" s="148"/>
      <c r="H103" s="162"/>
      <c r="I103" s="162"/>
      <c r="J103" s="162"/>
      <c r="K103" s="162"/>
      <c r="L103" s="163"/>
      <c r="M103" s="345"/>
      <c r="N103" s="162"/>
      <c r="O103" s="162"/>
      <c r="P103" s="162"/>
      <c r="Q103" s="162"/>
      <c r="R103" s="162"/>
      <c r="S103" s="162"/>
      <c r="T103" s="162"/>
      <c r="U103" s="162"/>
      <c r="V103" s="162"/>
      <c r="W103" s="162"/>
      <c r="X103" s="162"/>
      <c r="Y103" s="162"/>
      <c r="Z103" s="162"/>
      <c r="AA103" s="162"/>
      <c r="AB103" s="162"/>
      <c r="AC103" s="162"/>
      <c r="AD103" s="162"/>
    </row>
    <row r="104" spans="1:30">
      <c r="A104" s="93"/>
      <c r="B104" s="28"/>
      <c r="C104" s="28"/>
      <c r="D104" s="171"/>
      <c r="E104" s="2"/>
      <c r="F104" s="89"/>
      <c r="G104" s="148"/>
      <c r="H104" s="162"/>
      <c r="I104" s="162"/>
      <c r="J104" s="162"/>
      <c r="K104" s="162"/>
      <c r="L104" s="163"/>
      <c r="M104" s="345"/>
      <c r="N104" s="162"/>
      <c r="O104" s="162"/>
      <c r="P104" s="162"/>
      <c r="Q104" s="162"/>
      <c r="R104" s="162"/>
      <c r="S104" s="162"/>
      <c r="T104" s="162"/>
      <c r="U104" s="162"/>
      <c r="V104" s="162"/>
      <c r="W104" s="162"/>
      <c r="X104" s="162"/>
      <c r="Y104" s="162"/>
      <c r="Z104" s="162"/>
      <c r="AA104" s="162"/>
      <c r="AB104" s="162"/>
      <c r="AC104" s="162"/>
      <c r="AD104" s="162"/>
    </row>
    <row r="105" spans="1:30">
      <c r="A105" s="93"/>
      <c r="B105" s="28"/>
      <c r="C105" s="28"/>
      <c r="D105" s="171"/>
      <c r="E105" s="2"/>
      <c r="F105" s="89"/>
      <c r="G105" s="148"/>
      <c r="H105" s="162"/>
      <c r="I105" s="162"/>
      <c r="J105" s="162"/>
      <c r="K105" s="162"/>
      <c r="L105" s="163"/>
      <c r="M105" s="345"/>
      <c r="N105" s="162"/>
      <c r="O105" s="162"/>
      <c r="P105" s="162"/>
      <c r="Q105" s="162"/>
      <c r="R105" s="162"/>
      <c r="S105" s="162"/>
      <c r="T105" s="162"/>
      <c r="U105" s="162"/>
      <c r="V105" s="162"/>
      <c r="W105" s="162"/>
      <c r="X105" s="162"/>
      <c r="Y105" s="162"/>
      <c r="Z105" s="162"/>
      <c r="AA105" s="162"/>
      <c r="AB105" s="162"/>
      <c r="AC105" s="162"/>
      <c r="AD105" s="162"/>
    </row>
    <row r="106" spans="1:30">
      <c r="A106" s="93"/>
      <c r="B106" s="28"/>
      <c r="C106" s="28"/>
      <c r="D106" s="171"/>
      <c r="E106" s="2"/>
      <c r="F106" s="89"/>
      <c r="G106" s="148"/>
      <c r="H106" s="162"/>
      <c r="I106" s="162"/>
      <c r="J106" s="162"/>
      <c r="K106" s="162"/>
      <c r="L106" s="163"/>
      <c r="M106" s="345"/>
      <c r="N106" s="162"/>
      <c r="O106" s="162"/>
      <c r="P106" s="162"/>
      <c r="Q106" s="162"/>
      <c r="R106" s="162"/>
      <c r="S106" s="162"/>
      <c r="T106" s="162"/>
      <c r="U106" s="162"/>
      <c r="V106" s="162"/>
      <c r="W106" s="162"/>
      <c r="X106" s="162"/>
      <c r="Y106" s="162"/>
      <c r="Z106" s="162"/>
      <c r="AA106" s="162"/>
      <c r="AB106" s="162"/>
      <c r="AC106" s="162"/>
      <c r="AD106" s="162"/>
    </row>
    <row r="107" spans="1:30">
      <c r="A107" s="93"/>
      <c r="B107" s="28"/>
      <c r="C107" s="28"/>
      <c r="D107" s="171"/>
      <c r="E107" s="2"/>
      <c r="F107" s="89"/>
      <c r="G107" s="148"/>
      <c r="H107" s="162"/>
      <c r="I107" s="162"/>
      <c r="J107" s="162"/>
      <c r="K107" s="162"/>
      <c r="L107" s="163"/>
      <c r="M107" s="345"/>
      <c r="N107" s="162"/>
      <c r="O107" s="162"/>
      <c r="P107" s="162"/>
      <c r="Q107" s="162"/>
      <c r="R107" s="162"/>
      <c r="S107" s="162"/>
      <c r="T107" s="162"/>
      <c r="U107" s="162"/>
      <c r="V107" s="162"/>
      <c r="W107" s="162"/>
      <c r="X107" s="162"/>
      <c r="Y107" s="162"/>
      <c r="Z107" s="162"/>
      <c r="AA107" s="162"/>
      <c r="AB107" s="162"/>
      <c r="AC107" s="162"/>
      <c r="AD107" s="162"/>
    </row>
    <row r="108" spans="1:30">
      <c r="A108" s="93"/>
      <c r="B108" s="28"/>
      <c r="C108" s="28"/>
      <c r="D108" s="171"/>
      <c r="E108" s="2"/>
      <c r="F108" s="89"/>
      <c r="G108" s="148"/>
      <c r="H108" s="162"/>
      <c r="I108" s="162"/>
      <c r="J108" s="162"/>
      <c r="K108" s="162"/>
      <c r="L108" s="163"/>
      <c r="M108" s="345"/>
      <c r="N108" s="162"/>
      <c r="O108" s="162"/>
      <c r="P108" s="162"/>
      <c r="Q108" s="162"/>
      <c r="R108" s="162"/>
      <c r="S108" s="162"/>
      <c r="T108" s="162"/>
      <c r="U108" s="162"/>
      <c r="V108" s="162"/>
      <c r="W108" s="162"/>
      <c r="X108" s="162"/>
      <c r="Y108" s="162"/>
      <c r="Z108" s="162"/>
      <c r="AA108" s="162"/>
      <c r="AB108" s="162"/>
      <c r="AC108" s="162"/>
      <c r="AD108" s="162"/>
    </row>
    <row r="109" spans="1:30">
      <c r="A109" s="93"/>
      <c r="B109" s="28"/>
      <c r="C109" s="28"/>
      <c r="D109" s="171"/>
      <c r="E109" s="2"/>
      <c r="F109" s="89"/>
      <c r="G109" s="148"/>
      <c r="H109" s="162"/>
      <c r="I109" s="162"/>
      <c r="J109" s="162"/>
      <c r="K109" s="162"/>
      <c r="L109" s="163"/>
      <c r="M109" s="345"/>
      <c r="N109" s="162"/>
      <c r="O109" s="162"/>
      <c r="P109" s="162"/>
      <c r="Q109" s="162"/>
      <c r="R109" s="162"/>
      <c r="S109" s="162"/>
      <c r="T109" s="162"/>
      <c r="U109" s="162"/>
      <c r="V109" s="162"/>
      <c r="W109" s="162"/>
      <c r="X109" s="162"/>
      <c r="Y109" s="162"/>
      <c r="Z109" s="162"/>
      <c r="AA109" s="162"/>
      <c r="AB109" s="162"/>
      <c r="AC109" s="162"/>
      <c r="AD109" s="162"/>
    </row>
    <row r="110" spans="1:30">
      <c r="A110" s="93"/>
      <c r="B110" s="28"/>
      <c r="C110" s="28"/>
      <c r="D110" s="171"/>
      <c r="E110" s="2"/>
      <c r="F110" s="89"/>
      <c r="G110" s="148"/>
      <c r="H110" s="162"/>
      <c r="I110" s="162"/>
      <c r="J110" s="162"/>
      <c r="K110" s="162"/>
      <c r="L110" s="163"/>
      <c r="M110" s="345"/>
      <c r="N110" s="162"/>
      <c r="O110" s="162"/>
      <c r="P110" s="162"/>
      <c r="Q110" s="162"/>
      <c r="R110" s="162"/>
      <c r="S110" s="162"/>
      <c r="T110" s="162"/>
      <c r="U110" s="162"/>
      <c r="V110" s="162"/>
      <c r="W110" s="162"/>
      <c r="X110" s="162"/>
      <c r="Y110" s="162"/>
      <c r="Z110" s="162"/>
      <c r="AA110" s="162"/>
      <c r="AB110" s="162"/>
      <c r="AC110" s="162"/>
      <c r="AD110" s="162"/>
    </row>
    <row r="111" spans="1:30">
      <c r="A111" s="93"/>
      <c r="B111" s="28"/>
      <c r="C111" s="28"/>
      <c r="D111" s="171"/>
      <c r="E111" s="2"/>
      <c r="F111" s="89"/>
      <c r="G111" s="148"/>
      <c r="H111" s="162"/>
      <c r="I111" s="162"/>
      <c r="J111" s="162"/>
      <c r="K111" s="162"/>
      <c r="L111" s="163"/>
      <c r="M111" s="345"/>
      <c r="N111" s="162"/>
      <c r="O111" s="162"/>
      <c r="P111" s="162"/>
      <c r="Q111" s="162"/>
      <c r="R111" s="162"/>
      <c r="S111" s="162"/>
      <c r="T111" s="162"/>
      <c r="U111" s="162"/>
      <c r="V111" s="162"/>
      <c r="W111" s="162"/>
      <c r="X111" s="162"/>
      <c r="Y111" s="162"/>
      <c r="Z111" s="162"/>
      <c r="AA111" s="162"/>
      <c r="AB111" s="162"/>
      <c r="AC111" s="162"/>
      <c r="AD111" s="162"/>
    </row>
    <row r="112" spans="1:30">
      <c r="A112" s="93"/>
      <c r="B112" s="28"/>
      <c r="C112" s="28"/>
      <c r="D112" s="171"/>
      <c r="E112" s="2"/>
      <c r="F112" s="89"/>
      <c r="G112" s="148"/>
      <c r="H112" s="162"/>
      <c r="I112" s="162"/>
      <c r="J112" s="162"/>
      <c r="K112" s="162"/>
      <c r="L112" s="163"/>
      <c r="M112" s="345"/>
      <c r="N112" s="162"/>
      <c r="O112" s="162"/>
      <c r="P112" s="162"/>
      <c r="Q112" s="162"/>
      <c r="R112" s="162"/>
      <c r="S112" s="162"/>
      <c r="T112" s="162"/>
      <c r="U112" s="162"/>
      <c r="V112" s="162"/>
      <c r="W112" s="162"/>
      <c r="X112" s="162"/>
      <c r="Y112" s="162"/>
      <c r="Z112" s="162"/>
      <c r="AA112" s="162"/>
      <c r="AB112" s="162"/>
      <c r="AC112" s="162"/>
      <c r="AD112" s="162"/>
    </row>
    <row r="113" spans="1:30">
      <c r="A113" s="93"/>
      <c r="B113" s="28"/>
      <c r="C113" s="28"/>
      <c r="D113" s="171"/>
      <c r="E113" s="2" t="str">
        <f t="shared" si="2"/>
        <v/>
      </c>
      <c r="F113" s="89" t="str">
        <f t="shared" si="0"/>
        <v/>
      </c>
      <c r="G113" s="102" t="str">
        <f t="shared" si="1"/>
        <v/>
      </c>
      <c r="H113" s="162"/>
      <c r="I113" s="162"/>
      <c r="J113" s="162"/>
      <c r="K113" s="162"/>
      <c r="L113" s="163"/>
      <c r="M113" s="345"/>
      <c r="N113" s="162"/>
      <c r="O113" s="162"/>
      <c r="P113" s="162"/>
      <c r="Q113" s="162"/>
      <c r="R113" s="162"/>
      <c r="S113" s="162"/>
      <c r="T113" s="162"/>
      <c r="U113" s="162"/>
      <c r="V113" s="162"/>
      <c r="W113" s="162"/>
      <c r="X113" s="162"/>
      <c r="Y113" s="162"/>
      <c r="Z113" s="162"/>
      <c r="AA113" s="162"/>
      <c r="AB113" s="162"/>
      <c r="AC113" s="162"/>
      <c r="AD113" s="162"/>
    </row>
    <row r="114" spans="1:30" hidden="1">
      <c r="A114" s="93"/>
      <c r="B114" s="28"/>
      <c r="C114" s="28"/>
      <c r="D114" s="171"/>
      <c r="E114" s="2" t="str">
        <f t="shared" si="2"/>
        <v/>
      </c>
      <c r="F114" s="89" t="str">
        <f t="shared" si="0"/>
        <v/>
      </c>
      <c r="G114" s="102" t="str">
        <f t="shared" si="1"/>
        <v/>
      </c>
      <c r="H114" s="162"/>
      <c r="I114" s="162"/>
      <c r="J114" s="162"/>
      <c r="K114" s="162"/>
      <c r="L114" s="163"/>
      <c r="M114" s="345"/>
      <c r="N114" s="162"/>
      <c r="O114" s="162"/>
      <c r="P114" s="162"/>
      <c r="Q114" s="162"/>
      <c r="R114" s="162"/>
      <c r="S114" s="162"/>
      <c r="T114" s="162"/>
      <c r="U114" s="162"/>
      <c r="V114" s="162"/>
      <c r="W114" s="162"/>
      <c r="X114" s="162"/>
      <c r="Y114" s="162"/>
      <c r="Z114" s="162"/>
      <c r="AA114" s="162"/>
      <c r="AB114" s="162"/>
      <c r="AC114" s="162"/>
      <c r="AD114" s="162"/>
    </row>
    <row r="115" spans="1:30">
      <c r="A115" s="93"/>
      <c r="B115" s="28"/>
      <c r="C115" s="28"/>
      <c r="D115" s="171"/>
      <c r="E115" s="2" t="str">
        <f t="shared" si="2"/>
        <v/>
      </c>
      <c r="F115" s="89" t="str">
        <f t="shared" si="0"/>
        <v/>
      </c>
      <c r="G115" s="102" t="str">
        <f t="shared" si="1"/>
        <v/>
      </c>
      <c r="H115" s="162"/>
      <c r="I115" s="162"/>
      <c r="J115" s="162"/>
      <c r="K115" s="162"/>
      <c r="L115" s="163"/>
      <c r="M115" s="345"/>
      <c r="N115" s="162"/>
      <c r="O115" s="162"/>
      <c r="P115" s="162"/>
      <c r="Q115" s="162"/>
      <c r="R115" s="162"/>
      <c r="S115" s="162"/>
      <c r="T115" s="162"/>
      <c r="U115" s="162"/>
      <c r="V115" s="162"/>
      <c r="W115" s="162"/>
      <c r="X115" s="162"/>
      <c r="Y115" s="162"/>
      <c r="Z115" s="162"/>
      <c r="AA115" s="162"/>
      <c r="AB115" s="162"/>
      <c r="AC115" s="162"/>
      <c r="AD115" s="162"/>
    </row>
    <row r="116" spans="1:30" hidden="1">
      <c r="A116" s="93"/>
      <c r="B116" s="28"/>
      <c r="C116" s="28"/>
      <c r="D116" s="75"/>
      <c r="E116" s="2" t="str">
        <f t="shared" si="2"/>
        <v/>
      </c>
      <c r="F116" s="89" t="str">
        <f t="shared" si="0"/>
        <v/>
      </c>
      <c r="G116" s="102" t="str">
        <f t="shared" si="1"/>
        <v/>
      </c>
      <c r="H116" s="162"/>
      <c r="I116" s="162"/>
      <c r="J116" s="162"/>
      <c r="K116" s="162"/>
      <c r="L116" s="345"/>
      <c r="M116" s="345"/>
      <c r="N116" s="162"/>
      <c r="O116" s="162"/>
      <c r="P116" s="162"/>
      <c r="Q116" s="162"/>
      <c r="R116" s="162"/>
      <c r="S116" s="162"/>
      <c r="T116" s="162"/>
      <c r="U116" s="162"/>
      <c r="V116" s="162"/>
      <c r="W116" s="162"/>
      <c r="X116" s="162"/>
      <c r="Y116" s="162"/>
      <c r="Z116" s="162"/>
      <c r="AA116" s="162"/>
      <c r="AB116" s="162"/>
      <c r="AC116" s="162"/>
      <c r="AD116" s="162"/>
    </row>
    <row r="117" spans="1:30">
      <c r="A117" s="93"/>
      <c r="B117" s="28"/>
      <c r="C117" s="28"/>
      <c r="D117" s="75"/>
      <c r="E117" s="2" t="str">
        <f t="shared" si="2"/>
        <v/>
      </c>
      <c r="F117" s="89" t="str">
        <f t="shared" si="0"/>
        <v/>
      </c>
      <c r="G117" s="102" t="str">
        <f t="shared" si="1"/>
        <v/>
      </c>
      <c r="H117" s="162"/>
      <c r="I117" s="162"/>
      <c r="J117" s="162"/>
      <c r="K117" s="162"/>
      <c r="L117" s="345"/>
      <c r="M117" s="345"/>
      <c r="N117" s="162"/>
      <c r="O117" s="162"/>
      <c r="P117" s="162"/>
      <c r="Q117" s="162"/>
      <c r="R117" s="162"/>
      <c r="S117" s="162"/>
      <c r="T117" s="162"/>
      <c r="U117" s="162"/>
      <c r="V117" s="162"/>
      <c r="W117" s="162"/>
      <c r="X117" s="162"/>
      <c r="Y117" s="162"/>
      <c r="Z117" s="162"/>
      <c r="AA117" s="162"/>
      <c r="AB117" s="162"/>
      <c r="AC117" s="162"/>
      <c r="AD117" s="162"/>
    </row>
    <row r="118" spans="1:30">
      <c r="A118" s="93"/>
      <c r="B118" s="28"/>
      <c r="C118" s="28"/>
      <c r="D118" s="75"/>
      <c r="E118" s="2" t="str">
        <f t="shared" si="2"/>
        <v/>
      </c>
      <c r="F118" s="89" t="str">
        <f t="shared" si="0"/>
        <v/>
      </c>
      <c r="G118" s="102" t="str">
        <f t="shared" si="1"/>
        <v/>
      </c>
      <c r="H118" s="162"/>
      <c r="I118" s="162"/>
      <c r="J118" s="162"/>
      <c r="K118" s="162"/>
      <c r="L118" s="345"/>
      <c r="M118" s="345"/>
      <c r="N118" s="162"/>
      <c r="O118" s="162"/>
      <c r="P118" s="162"/>
      <c r="Q118" s="162"/>
      <c r="R118" s="162"/>
      <c r="S118" s="162"/>
      <c r="T118" s="162"/>
      <c r="U118" s="162"/>
      <c r="V118" s="162"/>
      <c r="W118" s="162"/>
      <c r="X118" s="162"/>
      <c r="Y118" s="162"/>
      <c r="Z118" s="162"/>
      <c r="AA118" s="162"/>
      <c r="AB118" s="162"/>
      <c r="AC118" s="162"/>
      <c r="AD118" s="162"/>
    </row>
    <row r="119" spans="1:30">
      <c r="A119" s="93"/>
      <c r="B119" s="28"/>
      <c r="C119" s="28"/>
      <c r="D119" s="75"/>
      <c r="E119" s="2" t="str">
        <f t="shared" si="2"/>
        <v/>
      </c>
      <c r="F119" s="89" t="str">
        <f t="shared" si="0"/>
        <v/>
      </c>
      <c r="G119" s="102" t="str">
        <f t="shared" si="1"/>
        <v/>
      </c>
      <c r="H119" s="162"/>
      <c r="I119" s="162"/>
      <c r="J119" s="162"/>
      <c r="K119" s="162"/>
      <c r="L119" s="345"/>
      <c r="M119" s="345"/>
      <c r="N119" s="162"/>
      <c r="O119" s="162"/>
      <c r="P119" s="162"/>
      <c r="Q119" s="162"/>
      <c r="R119" s="162"/>
      <c r="S119" s="162"/>
      <c r="T119" s="162"/>
      <c r="U119" s="162"/>
      <c r="V119" s="162"/>
      <c r="W119" s="162"/>
      <c r="X119" s="162"/>
      <c r="Y119" s="162"/>
      <c r="Z119" s="162"/>
      <c r="AA119" s="162"/>
      <c r="AB119" s="162"/>
      <c r="AC119" s="162"/>
      <c r="AD119" s="162"/>
    </row>
    <row r="120" spans="1:30" hidden="1">
      <c r="A120" s="93"/>
      <c r="B120" s="28"/>
      <c r="C120" s="28"/>
      <c r="D120" s="75"/>
      <c r="E120" s="2" t="str">
        <f t="shared" si="2"/>
        <v/>
      </c>
      <c r="F120" s="89" t="str">
        <f t="shared" si="0"/>
        <v/>
      </c>
      <c r="G120" s="102" t="str">
        <f t="shared" si="1"/>
        <v/>
      </c>
      <c r="H120" s="162"/>
      <c r="I120" s="162"/>
      <c r="J120" s="162"/>
      <c r="K120" s="162"/>
      <c r="L120" s="345"/>
      <c r="M120" s="345"/>
      <c r="N120" s="162"/>
      <c r="O120" s="162"/>
      <c r="P120" s="162"/>
      <c r="Q120" s="162"/>
      <c r="R120" s="162"/>
      <c r="S120" s="162"/>
      <c r="T120" s="162"/>
      <c r="U120" s="162"/>
      <c r="V120" s="162"/>
      <c r="W120" s="162"/>
      <c r="X120" s="162"/>
      <c r="Y120" s="162"/>
      <c r="Z120" s="162"/>
      <c r="AA120" s="162"/>
      <c r="AB120" s="162"/>
      <c r="AC120" s="162"/>
      <c r="AD120" s="162"/>
    </row>
    <row r="121" spans="1:30">
      <c r="A121" s="93"/>
      <c r="B121" s="28"/>
      <c r="C121" s="28"/>
      <c r="D121" s="75"/>
      <c r="E121" s="2" t="str">
        <f t="shared" si="2"/>
        <v/>
      </c>
      <c r="F121" s="89" t="str">
        <f t="shared" si="0"/>
        <v/>
      </c>
      <c r="G121" s="102" t="str">
        <f t="shared" si="1"/>
        <v/>
      </c>
      <c r="H121" s="162"/>
      <c r="I121" s="162"/>
      <c r="J121" s="162"/>
      <c r="K121" s="162"/>
      <c r="L121" s="345"/>
      <c r="M121" s="345"/>
      <c r="N121" s="162"/>
      <c r="O121" s="162"/>
      <c r="P121" s="162"/>
      <c r="Q121" s="162"/>
      <c r="R121" s="162"/>
      <c r="S121" s="162"/>
      <c r="T121" s="162"/>
      <c r="U121" s="162"/>
      <c r="V121" s="162"/>
      <c r="W121" s="162"/>
      <c r="X121" s="162"/>
      <c r="Y121" s="162"/>
      <c r="Z121" s="162"/>
      <c r="AA121" s="162"/>
      <c r="AB121" s="162"/>
      <c r="AC121" s="162"/>
      <c r="AD121" s="162"/>
    </row>
    <row r="122" spans="1:30" hidden="1">
      <c r="A122" s="93"/>
      <c r="B122" s="28"/>
      <c r="C122" s="28"/>
      <c r="D122" s="75"/>
      <c r="E122" s="2" t="str">
        <f t="shared" si="2"/>
        <v/>
      </c>
      <c r="F122" s="89" t="str">
        <f t="shared" si="0"/>
        <v/>
      </c>
      <c r="G122" s="102" t="str">
        <f t="shared" si="1"/>
        <v/>
      </c>
      <c r="H122" s="162"/>
      <c r="I122" s="162"/>
      <c r="J122" s="162"/>
      <c r="K122" s="162"/>
      <c r="L122" s="345"/>
      <c r="M122" s="345"/>
      <c r="N122" s="162"/>
      <c r="O122" s="162"/>
      <c r="P122" s="162"/>
      <c r="Q122" s="162"/>
      <c r="R122" s="162"/>
      <c r="S122" s="162"/>
      <c r="T122" s="162"/>
      <c r="U122" s="162"/>
      <c r="V122" s="162"/>
      <c r="W122" s="162"/>
      <c r="X122" s="162"/>
      <c r="Y122" s="162"/>
      <c r="Z122" s="162"/>
      <c r="AA122" s="162"/>
      <c r="AB122" s="162"/>
      <c r="AC122" s="162"/>
      <c r="AD122" s="162"/>
    </row>
    <row r="123" spans="1:30">
      <c r="A123" s="93"/>
      <c r="B123" s="28"/>
      <c r="C123" s="28"/>
      <c r="D123" s="75"/>
      <c r="E123" s="2" t="str">
        <f t="shared" si="2"/>
        <v/>
      </c>
      <c r="F123" s="89" t="str">
        <f t="shared" si="0"/>
        <v/>
      </c>
      <c r="G123" s="102" t="str">
        <f t="shared" si="1"/>
        <v/>
      </c>
      <c r="H123" s="162"/>
      <c r="I123" s="162"/>
      <c r="J123" s="162"/>
      <c r="K123" s="162"/>
      <c r="L123" s="345"/>
      <c r="M123" s="345"/>
      <c r="N123" s="162"/>
      <c r="O123" s="162"/>
      <c r="P123" s="162"/>
      <c r="Q123" s="162"/>
      <c r="R123" s="162"/>
      <c r="S123" s="162"/>
      <c r="T123" s="162"/>
      <c r="U123" s="162"/>
      <c r="V123" s="162"/>
      <c r="W123" s="162"/>
      <c r="X123" s="162"/>
      <c r="Y123" s="162"/>
      <c r="Z123" s="162"/>
      <c r="AA123" s="162"/>
      <c r="AB123" s="162"/>
      <c r="AC123" s="162"/>
      <c r="AD123" s="162"/>
    </row>
    <row r="124" spans="1:30">
      <c r="A124" s="93"/>
      <c r="B124" s="28"/>
      <c r="C124" s="28"/>
      <c r="D124" s="75"/>
      <c r="E124" s="2" t="str">
        <f t="shared" si="2"/>
        <v/>
      </c>
      <c r="F124" s="89" t="str">
        <f t="shared" si="0"/>
        <v/>
      </c>
      <c r="G124" s="102" t="str">
        <f t="shared" si="1"/>
        <v/>
      </c>
      <c r="H124" s="162"/>
      <c r="I124" s="162"/>
      <c r="J124" s="162"/>
      <c r="K124" s="162"/>
      <c r="L124" s="345"/>
      <c r="M124" s="345"/>
      <c r="N124" s="162"/>
      <c r="O124" s="162"/>
      <c r="P124" s="162"/>
      <c r="Q124" s="162"/>
      <c r="R124" s="162"/>
      <c r="S124" s="162"/>
      <c r="T124" s="162"/>
      <c r="U124" s="162"/>
      <c r="V124" s="162"/>
      <c r="W124" s="162"/>
      <c r="X124" s="162"/>
      <c r="Y124" s="162"/>
      <c r="Z124" s="162"/>
      <c r="AA124" s="162"/>
      <c r="AB124" s="162"/>
      <c r="AC124" s="162"/>
      <c r="AD124" s="162"/>
    </row>
    <row r="125" spans="1:30">
      <c r="A125" s="93"/>
      <c r="B125" s="28"/>
      <c r="C125" s="28"/>
      <c r="D125" s="75"/>
      <c r="E125" s="2" t="str">
        <f t="shared" si="2"/>
        <v/>
      </c>
      <c r="F125" s="89" t="str">
        <f t="shared" si="0"/>
        <v/>
      </c>
      <c r="G125" s="102" t="str">
        <f t="shared" si="1"/>
        <v/>
      </c>
      <c r="H125" s="162"/>
      <c r="I125" s="162"/>
      <c r="J125" s="162"/>
      <c r="K125" s="162"/>
      <c r="L125" s="345"/>
      <c r="M125" s="345"/>
      <c r="N125" s="162"/>
      <c r="O125" s="162"/>
      <c r="P125" s="162"/>
      <c r="Q125" s="162"/>
      <c r="R125" s="162"/>
      <c r="S125" s="162"/>
      <c r="T125" s="162"/>
      <c r="U125" s="162"/>
      <c r="V125" s="162"/>
      <c r="W125" s="162"/>
      <c r="X125" s="162"/>
      <c r="Y125" s="162"/>
      <c r="Z125" s="162"/>
      <c r="AA125" s="162"/>
      <c r="AB125" s="162"/>
      <c r="AC125" s="162"/>
      <c r="AD125" s="162"/>
    </row>
    <row r="126" spans="1:30">
      <c r="A126" s="93"/>
      <c r="B126" s="28"/>
      <c r="C126" s="28"/>
      <c r="D126" s="75"/>
      <c r="E126" s="2" t="str">
        <f t="shared" si="2"/>
        <v/>
      </c>
      <c r="F126" s="89" t="str">
        <f t="shared" si="0"/>
        <v/>
      </c>
      <c r="G126" s="102" t="str">
        <f t="shared" si="1"/>
        <v/>
      </c>
      <c r="H126" s="162"/>
      <c r="I126" s="162"/>
      <c r="J126" s="162"/>
      <c r="K126" s="162"/>
      <c r="L126" s="345"/>
      <c r="M126" s="345"/>
      <c r="N126" s="162"/>
      <c r="O126" s="162"/>
      <c r="P126" s="162"/>
      <c r="Q126" s="162"/>
      <c r="R126" s="162"/>
      <c r="S126" s="162"/>
      <c r="T126" s="162"/>
      <c r="U126" s="162"/>
      <c r="V126" s="162"/>
      <c r="W126" s="162"/>
      <c r="X126" s="162"/>
      <c r="Y126" s="162"/>
      <c r="Z126" s="162"/>
      <c r="AA126" s="162"/>
      <c r="AB126" s="162"/>
      <c r="AC126" s="162"/>
      <c r="AD126" s="162"/>
    </row>
    <row r="127" spans="1:30">
      <c r="A127" s="93"/>
      <c r="B127" s="28"/>
      <c r="C127" s="28"/>
      <c r="D127" s="75"/>
      <c r="E127" s="2" t="str">
        <f t="shared" si="2"/>
        <v/>
      </c>
      <c r="F127" s="89" t="str">
        <f t="shared" si="0"/>
        <v/>
      </c>
      <c r="G127" s="102" t="str">
        <f t="shared" si="1"/>
        <v/>
      </c>
      <c r="H127" s="162"/>
      <c r="I127" s="162"/>
      <c r="J127" s="162"/>
      <c r="K127" s="162"/>
      <c r="L127" s="345"/>
      <c r="M127" s="345"/>
      <c r="N127" s="162"/>
      <c r="O127" s="162"/>
      <c r="P127" s="162"/>
      <c r="Q127" s="162"/>
      <c r="R127" s="162"/>
      <c r="S127" s="162"/>
      <c r="T127" s="162"/>
      <c r="U127" s="162"/>
      <c r="V127" s="162"/>
      <c r="W127" s="162"/>
      <c r="X127" s="162"/>
      <c r="Y127" s="162"/>
      <c r="Z127" s="162"/>
      <c r="AA127" s="162"/>
      <c r="AB127" s="162"/>
      <c r="AC127" s="162"/>
      <c r="AD127" s="162"/>
    </row>
    <row r="128" spans="1:30">
      <c r="A128" s="93"/>
      <c r="B128" s="28"/>
      <c r="C128" s="28"/>
      <c r="D128" s="75"/>
      <c r="E128" s="2" t="str">
        <f t="shared" si="2"/>
        <v/>
      </c>
      <c r="F128" s="89" t="str">
        <f t="shared" si="0"/>
        <v/>
      </c>
      <c r="G128" s="102" t="str">
        <f t="shared" si="1"/>
        <v/>
      </c>
      <c r="H128" s="162"/>
      <c r="I128" s="162"/>
      <c r="J128" s="162"/>
      <c r="K128" s="162"/>
      <c r="L128" s="345"/>
      <c r="M128" s="345"/>
      <c r="N128" s="162"/>
      <c r="O128" s="162"/>
      <c r="P128" s="162"/>
      <c r="Q128" s="162"/>
      <c r="R128" s="162"/>
      <c r="S128" s="162"/>
      <c r="T128" s="162"/>
      <c r="U128" s="162"/>
      <c r="V128" s="162"/>
      <c r="W128" s="162"/>
      <c r="X128" s="162"/>
      <c r="Y128" s="162"/>
      <c r="Z128" s="162"/>
      <c r="AA128" s="162"/>
      <c r="AB128" s="162"/>
      <c r="AC128" s="162"/>
      <c r="AD128" s="162"/>
    </row>
    <row r="129" spans="1:30">
      <c r="A129" s="93"/>
      <c r="B129" s="28"/>
      <c r="C129" s="28"/>
      <c r="D129" s="75"/>
      <c r="E129" s="2" t="str">
        <f t="shared" si="2"/>
        <v/>
      </c>
      <c r="F129" s="89" t="str">
        <f t="shared" si="0"/>
        <v/>
      </c>
      <c r="G129" s="102" t="str">
        <f t="shared" si="1"/>
        <v/>
      </c>
      <c r="H129" s="162"/>
      <c r="I129" s="162"/>
      <c r="J129" s="162"/>
      <c r="K129" s="162"/>
      <c r="L129" s="345"/>
      <c r="M129" s="345"/>
      <c r="N129" s="162"/>
      <c r="O129" s="162"/>
      <c r="P129" s="162"/>
      <c r="Q129" s="162"/>
      <c r="R129" s="162"/>
      <c r="S129" s="162"/>
      <c r="T129" s="162"/>
      <c r="U129" s="162"/>
      <c r="V129" s="162"/>
      <c r="W129" s="162"/>
      <c r="X129" s="162"/>
      <c r="Y129" s="162"/>
      <c r="Z129" s="162"/>
      <c r="AA129" s="162"/>
      <c r="AB129" s="162"/>
      <c r="AC129" s="162"/>
      <c r="AD129" s="162"/>
    </row>
    <row r="130" spans="1:30">
      <c r="A130" s="93"/>
      <c r="B130" s="28"/>
      <c r="C130" s="28"/>
      <c r="D130" s="75"/>
      <c r="E130" s="2" t="str">
        <f t="shared" si="2"/>
        <v/>
      </c>
      <c r="F130" s="89" t="str">
        <f t="shared" si="0"/>
        <v/>
      </c>
      <c r="G130" s="102" t="str">
        <f t="shared" si="1"/>
        <v/>
      </c>
      <c r="H130" s="162"/>
      <c r="I130" s="162"/>
      <c r="J130" s="162"/>
      <c r="K130" s="162"/>
      <c r="L130" s="345"/>
      <c r="M130" s="345"/>
      <c r="N130" s="162"/>
      <c r="O130" s="162"/>
      <c r="P130" s="162"/>
      <c r="Q130" s="162"/>
      <c r="R130" s="162"/>
      <c r="S130" s="162"/>
      <c r="T130" s="162"/>
      <c r="U130" s="162"/>
      <c r="V130" s="162"/>
      <c r="W130" s="162"/>
      <c r="X130" s="162"/>
      <c r="Y130" s="162"/>
      <c r="Z130" s="162"/>
      <c r="AA130" s="162"/>
      <c r="AB130" s="162"/>
      <c r="AC130" s="162"/>
      <c r="AD130" s="162"/>
    </row>
    <row r="131" spans="1:30">
      <c r="A131" s="93"/>
      <c r="B131" s="28"/>
      <c r="C131" s="28"/>
      <c r="D131" s="75"/>
      <c r="E131" s="2" t="str">
        <f t="shared" si="2"/>
        <v/>
      </c>
      <c r="F131" s="89" t="str">
        <f t="shared" si="0"/>
        <v/>
      </c>
      <c r="G131" s="102" t="str">
        <f t="shared" si="1"/>
        <v/>
      </c>
      <c r="H131" s="162"/>
      <c r="I131" s="162"/>
      <c r="J131" s="162"/>
      <c r="K131" s="162"/>
      <c r="L131" s="345"/>
      <c r="M131" s="345"/>
      <c r="N131" s="162"/>
      <c r="O131" s="162"/>
      <c r="P131" s="162"/>
      <c r="Q131" s="162"/>
      <c r="R131" s="162"/>
      <c r="S131" s="162"/>
      <c r="T131" s="162"/>
      <c r="U131" s="162"/>
      <c r="V131" s="162"/>
      <c r="W131" s="162"/>
      <c r="X131" s="162"/>
      <c r="Y131" s="162"/>
      <c r="Z131" s="162"/>
      <c r="AA131" s="162"/>
      <c r="AB131" s="162"/>
      <c r="AC131" s="162"/>
      <c r="AD131" s="162"/>
    </row>
    <row r="132" spans="1:30">
      <c r="A132" s="93"/>
      <c r="B132" s="28"/>
      <c r="C132" s="28"/>
      <c r="D132" s="75"/>
      <c r="E132" s="2" t="str">
        <f t="shared" si="2"/>
        <v/>
      </c>
      <c r="F132" s="89" t="str">
        <f t="shared" si="0"/>
        <v/>
      </c>
      <c r="G132" s="102" t="str">
        <f t="shared" si="1"/>
        <v/>
      </c>
      <c r="H132" s="162"/>
      <c r="I132" s="162"/>
      <c r="J132" s="162"/>
      <c r="K132" s="162"/>
      <c r="L132" s="345"/>
      <c r="M132" s="345"/>
      <c r="N132" s="162"/>
      <c r="O132" s="162"/>
      <c r="P132" s="162"/>
      <c r="Q132" s="162"/>
      <c r="R132" s="162"/>
      <c r="S132" s="162"/>
      <c r="T132" s="162"/>
      <c r="U132" s="162"/>
      <c r="V132" s="162"/>
      <c r="W132" s="162"/>
      <c r="X132" s="162"/>
      <c r="Y132" s="162"/>
      <c r="Z132" s="162"/>
      <c r="AA132" s="162"/>
      <c r="AB132" s="162"/>
      <c r="AC132" s="162"/>
      <c r="AD132" s="162"/>
    </row>
    <row r="133" spans="1:30">
      <c r="A133" s="93"/>
      <c r="B133" s="28"/>
      <c r="C133" s="28"/>
      <c r="D133" s="75"/>
      <c r="E133" s="2" t="str">
        <f t="shared" si="2"/>
        <v/>
      </c>
      <c r="F133" s="89" t="str">
        <f t="shared" si="0"/>
        <v/>
      </c>
      <c r="G133" s="102" t="str">
        <f t="shared" si="1"/>
        <v/>
      </c>
      <c r="H133" s="162"/>
      <c r="I133" s="162"/>
      <c r="J133" s="162"/>
      <c r="K133" s="162"/>
      <c r="L133" s="345"/>
      <c r="M133" s="345"/>
      <c r="N133" s="162"/>
      <c r="O133" s="162"/>
      <c r="P133" s="162"/>
      <c r="Q133" s="162"/>
      <c r="R133" s="162"/>
      <c r="S133" s="162"/>
      <c r="T133" s="162"/>
      <c r="U133" s="162"/>
      <c r="V133" s="162"/>
      <c r="W133" s="162"/>
      <c r="X133" s="162"/>
      <c r="Y133" s="162"/>
      <c r="Z133" s="162"/>
      <c r="AA133" s="162"/>
      <c r="AB133" s="162"/>
      <c r="AC133" s="162"/>
      <c r="AD133" s="162"/>
    </row>
    <row r="134" spans="1:30">
      <c r="A134" s="93"/>
      <c r="B134" s="28"/>
      <c r="C134" s="28"/>
      <c r="D134" s="75"/>
      <c r="E134" s="2" t="str">
        <f t="shared" si="2"/>
        <v/>
      </c>
      <c r="F134" s="89" t="str">
        <f t="shared" si="0"/>
        <v/>
      </c>
      <c r="G134" s="102" t="str">
        <f t="shared" si="1"/>
        <v/>
      </c>
      <c r="H134" s="162"/>
      <c r="I134" s="162"/>
      <c r="J134" s="162"/>
      <c r="K134" s="162"/>
      <c r="L134" s="345"/>
      <c r="M134" s="345"/>
      <c r="N134" s="162"/>
      <c r="O134" s="162"/>
      <c r="P134" s="162"/>
      <c r="Q134" s="162"/>
      <c r="R134" s="162"/>
      <c r="S134" s="162"/>
      <c r="T134" s="162"/>
      <c r="U134" s="162"/>
      <c r="V134" s="162"/>
      <c r="W134" s="162"/>
      <c r="X134" s="162"/>
      <c r="Y134" s="162"/>
      <c r="Z134" s="162"/>
      <c r="AA134" s="162"/>
      <c r="AB134" s="162"/>
      <c r="AC134" s="162"/>
      <c r="AD134" s="162"/>
    </row>
    <row r="135" spans="1:30">
      <c r="A135" s="93"/>
      <c r="B135" s="28"/>
      <c r="C135" s="28"/>
      <c r="D135" s="75"/>
      <c r="E135" s="2" t="str">
        <f t="shared" si="2"/>
        <v/>
      </c>
      <c r="F135" s="89" t="str">
        <f t="shared" si="0"/>
        <v/>
      </c>
      <c r="G135" s="102" t="str">
        <f t="shared" si="1"/>
        <v/>
      </c>
      <c r="H135" s="162"/>
      <c r="I135" s="162"/>
      <c r="J135" s="162"/>
      <c r="K135" s="162"/>
      <c r="L135" s="345"/>
      <c r="M135" s="345"/>
      <c r="N135" s="162"/>
      <c r="O135" s="162"/>
      <c r="P135" s="162"/>
      <c r="Q135" s="162"/>
      <c r="R135" s="162"/>
      <c r="S135" s="162"/>
      <c r="T135" s="162"/>
      <c r="U135" s="162"/>
      <c r="V135" s="162"/>
      <c r="W135" s="162"/>
      <c r="X135" s="162"/>
      <c r="Y135" s="162"/>
      <c r="Z135" s="162"/>
      <c r="AA135" s="162"/>
      <c r="AB135" s="162"/>
      <c r="AC135" s="162"/>
      <c r="AD135" s="162"/>
    </row>
    <row r="136" spans="1:30">
      <c r="A136" s="93"/>
      <c r="B136" s="28"/>
      <c r="C136" s="28"/>
      <c r="D136" s="75"/>
      <c r="E136" s="2" t="str">
        <f t="shared" si="2"/>
        <v/>
      </c>
      <c r="F136" s="89" t="str">
        <f t="shared" si="0"/>
        <v/>
      </c>
      <c r="G136" s="102" t="str">
        <f t="shared" si="1"/>
        <v/>
      </c>
      <c r="H136" s="162"/>
      <c r="I136" s="162"/>
      <c r="J136" s="162"/>
      <c r="K136" s="162"/>
      <c r="L136" s="345"/>
      <c r="M136" s="345"/>
      <c r="N136" s="162"/>
      <c r="O136" s="162"/>
      <c r="P136" s="162"/>
      <c r="Q136" s="162"/>
      <c r="R136" s="162"/>
      <c r="S136" s="162"/>
      <c r="T136" s="162"/>
      <c r="U136" s="162"/>
      <c r="V136" s="162"/>
      <c r="W136" s="162"/>
      <c r="X136" s="162"/>
      <c r="Y136" s="162"/>
      <c r="Z136" s="162"/>
      <c r="AA136" s="162"/>
      <c r="AB136" s="162"/>
      <c r="AC136" s="162"/>
      <c r="AD136" s="162"/>
    </row>
    <row r="137" spans="1:30">
      <c r="A137" s="93"/>
      <c r="B137" s="28"/>
      <c r="C137" s="28"/>
      <c r="D137" s="75"/>
      <c r="E137" s="2" t="str">
        <f t="shared" si="2"/>
        <v/>
      </c>
      <c r="F137" s="89" t="str">
        <f t="shared" si="0"/>
        <v/>
      </c>
      <c r="G137" s="102" t="str">
        <f t="shared" si="1"/>
        <v/>
      </c>
      <c r="H137" s="162"/>
      <c r="I137" s="162"/>
      <c r="J137" s="162"/>
      <c r="K137" s="162"/>
      <c r="L137" s="345"/>
      <c r="M137" s="345"/>
      <c r="N137" s="162"/>
      <c r="O137" s="162"/>
      <c r="P137" s="162"/>
      <c r="Q137" s="162"/>
      <c r="R137" s="162"/>
      <c r="S137" s="162"/>
      <c r="T137" s="162"/>
      <c r="U137" s="162"/>
      <c r="V137" s="162"/>
      <c r="W137" s="162"/>
      <c r="X137" s="162"/>
      <c r="Y137" s="162"/>
      <c r="Z137" s="162"/>
      <c r="AA137" s="162"/>
      <c r="AB137" s="162"/>
      <c r="AC137" s="162"/>
      <c r="AD137" s="162"/>
    </row>
    <row r="138" spans="1:30">
      <c r="A138" s="93"/>
      <c r="B138" s="28"/>
      <c r="C138" s="28"/>
      <c r="D138" s="75"/>
      <c r="E138" s="2" t="str">
        <f t="shared" si="2"/>
        <v/>
      </c>
      <c r="F138" s="89" t="str">
        <f t="shared" si="0"/>
        <v/>
      </c>
      <c r="G138" s="102" t="str">
        <f t="shared" si="1"/>
        <v/>
      </c>
      <c r="H138" s="162"/>
      <c r="I138" s="162"/>
      <c r="J138" s="162"/>
      <c r="K138" s="162"/>
      <c r="L138" s="345"/>
      <c r="M138" s="346"/>
      <c r="N138" s="162"/>
      <c r="O138" s="162"/>
      <c r="P138" s="162"/>
      <c r="Q138" s="162"/>
      <c r="R138" s="162"/>
      <c r="S138" s="162"/>
      <c r="T138" s="162"/>
      <c r="U138" s="162"/>
      <c r="V138" s="162"/>
      <c r="W138" s="162"/>
      <c r="X138" s="162"/>
      <c r="Y138" s="162"/>
      <c r="Z138" s="162"/>
      <c r="AA138" s="162"/>
      <c r="AB138" s="162"/>
      <c r="AC138" s="162"/>
      <c r="AD138" s="162"/>
    </row>
    <row r="139" spans="1:30">
      <c r="A139" s="93"/>
      <c r="B139" s="28"/>
      <c r="C139" s="28"/>
      <c r="D139" s="75"/>
      <c r="E139" s="2" t="str">
        <f t="shared" si="2"/>
        <v/>
      </c>
      <c r="F139" s="89" t="str">
        <f t="shared" si="0"/>
        <v/>
      </c>
      <c r="G139" s="102" t="str">
        <f t="shared" si="1"/>
        <v/>
      </c>
      <c r="H139" s="162"/>
      <c r="I139" s="162"/>
      <c r="J139" s="162"/>
      <c r="K139" s="162"/>
      <c r="L139" s="345"/>
      <c r="M139" s="346"/>
      <c r="N139" s="162"/>
      <c r="O139" s="162"/>
      <c r="P139" s="162"/>
      <c r="Q139" s="162"/>
      <c r="R139" s="162"/>
      <c r="S139" s="162"/>
      <c r="T139" s="162"/>
      <c r="U139" s="162"/>
      <c r="V139" s="162"/>
      <c r="W139" s="162"/>
      <c r="X139" s="162"/>
      <c r="Y139" s="162"/>
      <c r="Z139" s="162"/>
      <c r="AA139" s="162"/>
      <c r="AB139" s="162"/>
      <c r="AC139" s="162"/>
      <c r="AD139" s="162"/>
    </row>
    <row r="140" spans="1:30">
      <c r="A140" s="93"/>
      <c r="B140" s="28"/>
      <c r="C140" s="28"/>
      <c r="D140" s="75"/>
      <c r="E140" s="2" t="str">
        <f t="shared" si="2"/>
        <v/>
      </c>
      <c r="F140" s="89" t="str">
        <f t="shared" si="0"/>
        <v/>
      </c>
      <c r="G140" s="102" t="str">
        <f t="shared" si="1"/>
        <v/>
      </c>
      <c r="H140" s="162"/>
      <c r="I140" s="162"/>
      <c r="J140" s="162"/>
      <c r="K140" s="162"/>
      <c r="L140" s="345"/>
      <c r="M140" s="346"/>
      <c r="N140" s="162"/>
      <c r="O140" s="162"/>
      <c r="P140" s="162"/>
      <c r="Q140" s="162"/>
      <c r="R140" s="162"/>
      <c r="S140" s="162"/>
      <c r="T140" s="162"/>
      <c r="U140" s="162"/>
      <c r="V140" s="162"/>
      <c r="W140" s="162"/>
      <c r="X140" s="162"/>
      <c r="Y140" s="162"/>
      <c r="Z140" s="162"/>
      <c r="AA140" s="162"/>
      <c r="AB140" s="162"/>
      <c r="AC140" s="162"/>
      <c r="AD140" s="162"/>
    </row>
    <row r="141" spans="1:30">
      <c r="A141" s="93"/>
      <c r="B141" s="28"/>
      <c r="C141" s="28"/>
      <c r="D141" s="75"/>
      <c r="E141" s="2" t="str">
        <f t="shared" si="2"/>
        <v/>
      </c>
      <c r="F141" s="89" t="str">
        <f t="shared" si="0"/>
        <v/>
      </c>
      <c r="G141" s="102" t="str">
        <f t="shared" si="1"/>
        <v/>
      </c>
      <c r="H141" s="162"/>
      <c r="I141" s="162"/>
      <c r="J141" s="162"/>
      <c r="K141" s="162"/>
      <c r="L141" s="345"/>
      <c r="M141" s="346"/>
      <c r="N141" s="162"/>
      <c r="O141" s="162"/>
      <c r="P141" s="162"/>
      <c r="Q141" s="162"/>
      <c r="R141" s="162"/>
      <c r="S141" s="162"/>
      <c r="T141" s="162"/>
      <c r="U141" s="162"/>
      <c r="V141" s="162"/>
      <c r="W141" s="162"/>
      <c r="X141" s="162"/>
      <c r="Y141" s="162"/>
      <c r="Z141" s="162"/>
      <c r="AA141" s="162"/>
      <c r="AB141" s="162"/>
      <c r="AC141" s="162"/>
      <c r="AD141" s="162"/>
    </row>
    <row r="142" spans="1:30">
      <c r="A142" s="93"/>
      <c r="B142" s="28"/>
      <c r="C142" s="28"/>
      <c r="D142" s="75"/>
      <c r="E142" s="2" t="str">
        <f t="shared" si="2"/>
        <v/>
      </c>
      <c r="F142" s="89" t="str">
        <f t="shared" si="0"/>
        <v/>
      </c>
      <c r="G142" s="102" t="str">
        <f t="shared" si="1"/>
        <v/>
      </c>
      <c r="H142" s="162"/>
      <c r="I142" s="162"/>
      <c r="J142" s="162"/>
      <c r="K142" s="162"/>
      <c r="L142" s="163"/>
      <c r="M142" s="163"/>
      <c r="N142" s="162"/>
      <c r="O142" s="162"/>
      <c r="P142" s="162"/>
      <c r="Q142" s="162"/>
      <c r="R142" s="162"/>
      <c r="S142" s="162"/>
      <c r="T142" s="162"/>
      <c r="U142" s="162"/>
      <c r="V142" s="162"/>
      <c r="W142" s="162"/>
      <c r="X142" s="162"/>
      <c r="Y142" s="162"/>
      <c r="Z142" s="162"/>
      <c r="AA142" s="162"/>
      <c r="AB142" s="162"/>
      <c r="AC142" s="162"/>
      <c r="AD142" s="162"/>
    </row>
    <row r="143" spans="1:30">
      <c r="A143" s="93"/>
      <c r="B143" s="28"/>
      <c r="C143" s="28"/>
      <c r="D143" s="75"/>
      <c r="E143" s="2" t="str">
        <f t="shared" si="2"/>
        <v/>
      </c>
      <c r="F143" s="89" t="str">
        <f t="shared" si="0"/>
        <v/>
      </c>
      <c r="G143" s="102" t="str">
        <f t="shared" si="1"/>
        <v/>
      </c>
      <c r="H143" s="162"/>
      <c r="I143" s="162"/>
      <c r="J143" s="162"/>
      <c r="K143" s="162"/>
      <c r="L143" s="163"/>
      <c r="M143" s="163"/>
      <c r="N143" s="162"/>
      <c r="O143" s="162"/>
      <c r="P143" s="162"/>
      <c r="Q143" s="162"/>
      <c r="R143" s="162"/>
      <c r="S143" s="162"/>
      <c r="T143" s="162"/>
      <c r="U143" s="162"/>
      <c r="V143" s="162"/>
      <c r="W143" s="162"/>
      <c r="X143" s="162"/>
      <c r="Y143" s="162"/>
      <c r="Z143" s="162"/>
      <c r="AA143" s="162"/>
      <c r="AB143" s="162"/>
      <c r="AC143" s="162"/>
      <c r="AD143" s="162"/>
    </row>
    <row r="144" spans="1:30">
      <c r="A144" s="93"/>
      <c r="B144" s="28"/>
      <c r="C144" s="28"/>
      <c r="D144" s="75"/>
      <c r="E144" s="2" t="str">
        <f t="shared" si="2"/>
        <v/>
      </c>
      <c r="F144" s="89" t="str">
        <f t="shared" si="0"/>
        <v/>
      </c>
      <c r="G144" s="102" t="str">
        <f t="shared" si="1"/>
        <v/>
      </c>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row>
    <row r="145" spans="1:30">
      <c r="A145" s="93"/>
      <c r="B145" s="28"/>
      <c r="C145" s="28"/>
      <c r="D145" s="75"/>
      <c r="E145" s="2" t="str">
        <f t="shared" si="2"/>
        <v/>
      </c>
      <c r="F145" s="89" t="str">
        <f t="shared" si="0"/>
        <v/>
      </c>
      <c r="G145" s="102" t="str">
        <f t="shared" si="1"/>
        <v/>
      </c>
      <c r="H145" s="162"/>
      <c r="I145" s="162"/>
      <c r="J145" s="162"/>
      <c r="K145" s="162"/>
      <c r="L145" s="163"/>
      <c r="M145" s="163"/>
      <c r="N145" s="162"/>
      <c r="O145" s="162"/>
      <c r="P145" s="162"/>
      <c r="Q145" s="162"/>
      <c r="R145" s="162"/>
      <c r="S145" s="162"/>
      <c r="T145" s="162"/>
      <c r="U145" s="162"/>
      <c r="V145" s="162"/>
      <c r="W145" s="162"/>
      <c r="X145" s="162"/>
      <c r="Y145" s="162"/>
      <c r="Z145" s="162"/>
      <c r="AA145" s="162"/>
      <c r="AB145" s="162"/>
      <c r="AC145" s="162"/>
      <c r="AD145" s="162"/>
    </row>
    <row r="146" spans="1:30">
      <c r="A146" s="93"/>
      <c r="B146" s="28"/>
      <c r="C146" s="28"/>
      <c r="D146" s="75"/>
      <c r="E146" s="2" t="str">
        <f t="shared" si="2"/>
        <v/>
      </c>
      <c r="F146" s="89" t="str">
        <f t="shared" si="0"/>
        <v/>
      </c>
      <c r="G146" s="102" t="str">
        <f t="shared" si="1"/>
        <v/>
      </c>
      <c r="H146" s="162"/>
      <c r="I146" s="162"/>
      <c r="J146" s="162"/>
      <c r="K146" s="162"/>
      <c r="L146" s="163"/>
      <c r="M146" s="163"/>
      <c r="N146" s="162"/>
      <c r="O146" s="162"/>
      <c r="P146" s="162"/>
      <c r="Q146" s="162"/>
      <c r="R146" s="162"/>
      <c r="S146" s="162"/>
      <c r="T146" s="162"/>
      <c r="U146" s="162"/>
      <c r="V146" s="162"/>
      <c r="W146" s="162"/>
      <c r="X146" s="162"/>
      <c r="Y146" s="162"/>
      <c r="Z146" s="162"/>
      <c r="AA146" s="162"/>
      <c r="AB146" s="162"/>
      <c r="AC146" s="162"/>
      <c r="AD146" s="162"/>
    </row>
    <row r="147" spans="1:30">
      <c r="A147" s="93"/>
      <c r="B147" s="28"/>
      <c r="C147" s="28"/>
      <c r="D147" s="75"/>
      <c r="E147" s="2" t="str">
        <f t="shared" si="2"/>
        <v/>
      </c>
      <c r="F147" s="89" t="str">
        <f t="shared" si="0"/>
        <v/>
      </c>
      <c r="G147" s="102" t="str">
        <f t="shared" si="1"/>
        <v/>
      </c>
      <c r="H147" s="162"/>
      <c r="I147" s="162"/>
      <c r="J147" s="162"/>
      <c r="K147" s="162"/>
      <c r="L147" s="163"/>
      <c r="M147" s="163"/>
      <c r="N147" s="162"/>
      <c r="O147" s="162"/>
      <c r="P147" s="162"/>
      <c r="Q147" s="162"/>
      <c r="R147" s="162"/>
      <c r="S147" s="162"/>
      <c r="T147" s="162"/>
      <c r="U147" s="162"/>
      <c r="V147" s="162"/>
      <c r="W147" s="162"/>
      <c r="X147" s="162"/>
      <c r="Y147" s="162"/>
      <c r="Z147" s="162"/>
      <c r="AA147" s="162"/>
      <c r="AB147" s="162"/>
      <c r="AC147" s="162"/>
      <c r="AD147" s="162"/>
    </row>
    <row r="148" spans="1:30" ht="13.5" thickBot="1">
      <c r="A148" s="94"/>
      <c r="B148" s="95"/>
      <c r="C148" s="95"/>
      <c r="D148" s="126"/>
      <c r="E148" s="79" t="str">
        <f t="shared" si="2"/>
        <v/>
      </c>
      <c r="F148" s="198" t="str">
        <f t="shared" si="0"/>
        <v/>
      </c>
      <c r="G148" s="103" t="str">
        <f t="shared" si="1"/>
        <v/>
      </c>
      <c r="H148" s="162"/>
      <c r="I148" s="162"/>
      <c r="J148" s="162"/>
      <c r="K148" s="162"/>
      <c r="L148" s="163"/>
      <c r="M148" s="163"/>
      <c r="N148" s="162"/>
      <c r="O148" s="162"/>
      <c r="P148" s="162"/>
      <c r="Q148" s="162"/>
      <c r="R148" s="162"/>
      <c r="S148" s="162"/>
      <c r="T148" s="162"/>
      <c r="U148" s="162"/>
      <c r="V148" s="162"/>
      <c r="W148" s="162"/>
      <c r="X148" s="162"/>
      <c r="Y148" s="162"/>
      <c r="Z148" s="162"/>
      <c r="AA148" s="162"/>
      <c r="AB148" s="162"/>
      <c r="AC148" s="162"/>
      <c r="AD148" s="162"/>
    </row>
    <row r="149" spans="1:30" ht="13.5" thickBot="1">
      <c r="A149" s="118" t="s">
        <v>569</v>
      </c>
      <c r="B149" s="38"/>
      <c r="C149" s="38"/>
      <c r="D149" s="129"/>
      <c r="E149" s="39">
        <f>SUM(E18:E148)</f>
        <v>0</v>
      </c>
      <c r="F149" s="105">
        <f>SUM(F18:F148)</f>
        <v>0</v>
      </c>
      <c r="G149" s="100">
        <f>SUM(G18:G148)</f>
        <v>0</v>
      </c>
      <c r="H149" s="162"/>
      <c r="I149" s="162"/>
      <c r="J149" s="162"/>
      <c r="K149" s="162"/>
      <c r="L149" s="163"/>
      <c r="M149" s="163"/>
      <c r="N149" s="162"/>
      <c r="O149" s="162"/>
      <c r="P149" s="162"/>
      <c r="Q149" s="162"/>
      <c r="R149" s="162"/>
      <c r="S149" s="162"/>
      <c r="T149" s="162"/>
      <c r="U149" s="162"/>
      <c r="V149" s="162"/>
      <c r="W149" s="162"/>
      <c r="X149" s="162"/>
      <c r="Y149" s="162"/>
      <c r="Z149" s="162"/>
      <c r="AA149" s="162"/>
      <c r="AB149" s="162"/>
      <c r="AC149" s="162"/>
      <c r="AD149" s="162"/>
    </row>
    <row r="150" spans="1:30">
      <c r="A150" s="4"/>
      <c r="B150" s="4"/>
      <c r="C150" s="4"/>
      <c r="D150" s="4"/>
      <c r="E150" s="4"/>
      <c r="F150" s="4"/>
      <c r="G150" s="4"/>
      <c r="H150" s="162"/>
      <c r="I150" s="162"/>
      <c r="J150" s="162"/>
      <c r="K150" s="162"/>
      <c r="L150" s="163"/>
      <c r="M150" s="163"/>
      <c r="N150" s="162"/>
      <c r="O150" s="162"/>
      <c r="P150" s="162"/>
      <c r="Q150" s="162"/>
      <c r="R150" s="162"/>
      <c r="S150" s="162"/>
      <c r="T150" s="162"/>
      <c r="U150" s="162"/>
      <c r="V150" s="162"/>
      <c r="W150" s="162"/>
      <c r="X150" s="162"/>
      <c r="Y150" s="162"/>
      <c r="Z150" s="162"/>
      <c r="AA150" s="162"/>
      <c r="AB150" s="162"/>
      <c r="AC150" s="162"/>
      <c r="AD150" s="162"/>
    </row>
    <row r="151" spans="1:30" ht="15" thickBot="1">
      <c r="A151" s="7" t="s">
        <v>402</v>
      </c>
      <c r="B151" s="4"/>
      <c r="C151" s="4"/>
      <c r="D151" s="4"/>
      <c r="E151" s="4"/>
      <c r="F151" s="4"/>
      <c r="G151" s="4"/>
      <c r="H151" s="162"/>
      <c r="I151" s="162"/>
      <c r="J151" s="162"/>
      <c r="K151" s="162"/>
      <c r="L151" s="163"/>
      <c r="M151" s="163"/>
      <c r="N151" s="162"/>
      <c r="O151" s="162"/>
      <c r="P151" s="162"/>
      <c r="Q151" s="162"/>
      <c r="R151" s="162"/>
      <c r="S151" s="162"/>
      <c r="T151" s="162"/>
      <c r="U151" s="162"/>
      <c r="V151" s="162"/>
      <c r="W151" s="162"/>
      <c r="X151" s="162"/>
      <c r="Y151" s="162"/>
      <c r="Z151" s="162"/>
      <c r="AA151" s="162"/>
      <c r="AB151" s="162"/>
      <c r="AC151" s="162"/>
      <c r="AD151" s="162"/>
    </row>
    <row r="152" spans="1:30" ht="40.5" thickBot="1">
      <c r="A152" s="687" t="s">
        <v>284</v>
      </c>
      <c r="B152" s="688" t="s">
        <v>0</v>
      </c>
      <c r="C152" s="688" t="s">
        <v>135</v>
      </c>
      <c r="D152" s="663" t="s">
        <v>298</v>
      </c>
      <c r="E152" s="193" t="s">
        <v>285</v>
      </c>
      <c r="F152" s="193" t="s">
        <v>299</v>
      </c>
      <c r="G152" s="194" t="s">
        <v>300</v>
      </c>
      <c r="H152" s="162"/>
      <c r="I152" s="162"/>
      <c r="J152" s="162"/>
      <c r="K152" s="162"/>
      <c r="L152" s="163"/>
      <c r="M152" s="163"/>
      <c r="N152" s="162"/>
      <c r="O152" s="162"/>
      <c r="P152" s="162"/>
      <c r="Q152" s="162"/>
      <c r="R152" s="162"/>
      <c r="S152" s="162"/>
      <c r="T152" s="162"/>
      <c r="U152" s="162"/>
      <c r="V152" s="162"/>
      <c r="W152" s="162"/>
      <c r="X152" s="162"/>
      <c r="Y152" s="162"/>
      <c r="Z152" s="162"/>
      <c r="AA152" s="162"/>
      <c r="AB152" s="162"/>
      <c r="AC152" s="162"/>
      <c r="AD152" s="162"/>
    </row>
    <row r="153" spans="1:30">
      <c r="A153" s="448" t="s">
        <v>7</v>
      </c>
      <c r="B153" s="449" t="s">
        <v>8</v>
      </c>
      <c r="C153" s="449" t="s">
        <v>196</v>
      </c>
      <c r="D153" s="450">
        <v>100</v>
      </c>
      <c r="E153" s="450">
        <f t="shared" ref="E153:E201" si="3">IF($C153="","",VLOOKUP($C153,Biz_Travel_Fctr,2,FALSE)*$D153)</f>
        <v>9.6</v>
      </c>
      <c r="F153" s="464">
        <f t="shared" ref="F153:F201" si="4">IF($C153="","",VLOOKUP($C153,Biz_Travel_Fctr,3,FALSE)*$D153)</f>
        <v>0.8</v>
      </c>
      <c r="G153" s="465">
        <f t="shared" ref="G153:G201" si="5">IF($C153="","",VLOOKUP($C153,Biz_Travel_Fctr,4,FALSE)*$D153)</f>
        <v>0.11</v>
      </c>
      <c r="H153" s="162"/>
      <c r="I153" s="162"/>
      <c r="J153" s="162"/>
      <c r="K153" s="162"/>
      <c r="L153" s="163"/>
      <c r="M153" s="163"/>
      <c r="N153" s="162"/>
      <c r="O153" s="162"/>
      <c r="P153" s="162"/>
      <c r="Q153" s="162"/>
      <c r="R153" s="162"/>
      <c r="S153" s="162"/>
      <c r="T153" s="162"/>
      <c r="U153" s="162"/>
      <c r="V153" s="162"/>
      <c r="W153" s="162"/>
      <c r="X153" s="162"/>
      <c r="Y153" s="162"/>
      <c r="Z153" s="162"/>
      <c r="AA153" s="162"/>
      <c r="AB153" s="162"/>
      <c r="AC153" s="162"/>
      <c r="AD153" s="162"/>
    </row>
    <row r="154" spans="1:30">
      <c r="A154" s="168"/>
      <c r="B154" s="170"/>
      <c r="C154" s="170"/>
      <c r="D154" s="171"/>
      <c r="E154" s="401" t="str">
        <f t="shared" si="3"/>
        <v/>
      </c>
      <c r="F154" s="164" t="str">
        <f t="shared" si="4"/>
        <v/>
      </c>
      <c r="G154" s="172" t="str">
        <f t="shared" si="5"/>
        <v/>
      </c>
      <c r="H154" s="162"/>
      <c r="I154" s="162"/>
      <c r="J154" s="162"/>
      <c r="K154" s="162"/>
      <c r="L154" s="163"/>
      <c r="M154" s="163"/>
      <c r="N154" s="162"/>
      <c r="O154" s="162"/>
      <c r="P154" s="162"/>
      <c r="Q154" s="162"/>
      <c r="R154" s="162"/>
      <c r="S154" s="162"/>
      <c r="T154" s="162"/>
      <c r="U154" s="162"/>
      <c r="V154" s="162"/>
      <c r="W154" s="162"/>
      <c r="X154" s="162"/>
      <c r="Y154" s="162"/>
      <c r="Z154" s="162"/>
      <c r="AA154" s="162"/>
      <c r="AB154" s="162"/>
      <c r="AC154" s="162"/>
      <c r="AD154" s="162"/>
    </row>
    <row r="155" spans="1:30">
      <c r="A155" s="93"/>
      <c r="B155" s="130"/>
      <c r="C155" s="130"/>
      <c r="D155" s="171"/>
      <c r="E155" s="2" t="str">
        <f t="shared" si="3"/>
        <v/>
      </c>
      <c r="F155" s="89" t="str">
        <f t="shared" si="4"/>
        <v/>
      </c>
      <c r="G155" s="102" t="str">
        <f t="shared" si="5"/>
        <v/>
      </c>
      <c r="H155" s="162"/>
      <c r="I155" s="162"/>
      <c r="J155" s="162"/>
      <c r="K155" s="162"/>
      <c r="L155" s="163"/>
      <c r="M155" s="163"/>
      <c r="N155" s="162"/>
      <c r="O155" s="162"/>
      <c r="P155" s="162"/>
      <c r="Q155" s="162"/>
      <c r="R155" s="162"/>
      <c r="S155" s="162"/>
      <c r="T155" s="162"/>
      <c r="U155" s="162"/>
      <c r="V155" s="162"/>
      <c r="W155" s="162"/>
      <c r="X155" s="162"/>
      <c r="Y155" s="162"/>
      <c r="Z155" s="162"/>
      <c r="AA155" s="162"/>
      <c r="AB155" s="162"/>
      <c r="AC155" s="162"/>
      <c r="AD155" s="162"/>
    </row>
    <row r="156" spans="1:30">
      <c r="A156" s="93"/>
      <c r="B156" s="130"/>
      <c r="C156" s="130"/>
      <c r="D156" s="171"/>
      <c r="E156" s="2" t="str">
        <f t="shared" si="3"/>
        <v/>
      </c>
      <c r="F156" s="89" t="str">
        <f t="shared" si="4"/>
        <v/>
      </c>
      <c r="G156" s="102" t="str">
        <f t="shared" si="5"/>
        <v/>
      </c>
      <c r="H156" s="162"/>
      <c r="I156" s="162"/>
      <c r="J156" s="162"/>
      <c r="K156" s="162"/>
      <c r="L156" s="163"/>
      <c r="M156" s="163"/>
      <c r="N156" s="162"/>
      <c r="O156" s="162"/>
      <c r="P156" s="162"/>
      <c r="Q156" s="162"/>
      <c r="R156" s="162"/>
      <c r="S156" s="162"/>
      <c r="T156" s="162"/>
      <c r="U156" s="162"/>
      <c r="V156" s="162"/>
      <c r="W156" s="162"/>
      <c r="X156" s="162"/>
      <c r="Y156" s="162"/>
      <c r="Z156" s="162"/>
      <c r="AA156" s="162"/>
      <c r="AB156" s="162"/>
      <c r="AC156" s="162"/>
      <c r="AD156" s="162"/>
    </row>
    <row r="157" spans="1:30">
      <c r="A157" s="93"/>
      <c r="B157" s="130"/>
      <c r="C157" s="130"/>
      <c r="D157" s="171"/>
      <c r="E157" s="2" t="str">
        <f t="shared" si="3"/>
        <v/>
      </c>
      <c r="F157" s="89" t="str">
        <f t="shared" si="4"/>
        <v/>
      </c>
      <c r="G157" s="102" t="str">
        <f t="shared" si="5"/>
        <v/>
      </c>
      <c r="H157" s="162"/>
      <c r="I157" s="162"/>
      <c r="J157" s="162"/>
      <c r="K157" s="162"/>
      <c r="L157" s="163"/>
      <c r="M157" s="163"/>
      <c r="N157" s="162"/>
      <c r="O157" s="162"/>
      <c r="P157" s="162"/>
      <c r="Q157" s="162"/>
      <c r="R157" s="162"/>
      <c r="S157" s="162"/>
      <c r="T157" s="162"/>
      <c r="U157" s="162"/>
      <c r="V157" s="162"/>
      <c r="W157" s="162"/>
      <c r="X157" s="162"/>
      <c r="Y157" s="162"/>
      <c r="Z157" s="162"/>
      <c r="AA157" s="162"/>
      <c r="AB157" s="162"/>
      <c r="AC157" s="162"/>
      <c r="AD157" s="162"/>
    </row>
    <row r="158" spans="1:30">
      <c r="A158" s="93"/>
      <c r="B158" s="130"/>
      <c r="C158" s="130"/>
      <c r="D158" s="171"/>
      <c r="E158" s="2" t="str">
        <f t="shared" si="3"/>
        <v/>
      </c>
      <c r="F158" s="89" t="str">
        <f t="shared" si="4"/>
        <v/>
      </c>
      <c r="G158" s="102" t="str">
        <f t="shared" si="5"/>
        <v/>
      </c>
      <c r="H158" s="162"/>
      <c r="I158" s="162"/>
      <c r="J158" s="162"/>
      <c r="K158" s="162"/>
      <c r="L158" s="163"/>
      <c r="M158" s="163"/>
      <c r="N158" s="162"/>
      <c r="O158" s="162"/>
      <c r="P158" s="162"/>
      <c r="Q158" s="162"/>
      <c r="R158" s="162"/>
      <c r="S158" s="162"/>
      <c r="T158" s="162"/>
      <c r="U158" s="162"/>
      <c r="V158" s="162"/>
      <c r="W158" s="162"/>
      <c r="X158" s="162"/>
      <c r="Y158" s="162"/>
      <c r="Z158" s="162"/>
      <c r="AA158" s="162"/>
      <c r="AB158" s="162"/>
      <c r="AC158" s="162"/>
      <c r="AD158" s="162"/>
    </row>
    <row r="159" spans="1:30">
      <c r="A159" s="93"/>
      <c r="B159" s="130"/>
      <c r="C159" s="130"/>
      <c r="D159" s="171"/>
      <c r="E159" s="2" t="str">
        <f t="shared" si="3"/>
        <v/>
      </c>
      <c r="F159" s="89" t="str">
        <f t="shared" si="4"/>
        <v/>
      </c>
      <c r="G159" s="102" t="str">
        <f t="shared" si="5"/>
        <v/>
      </c>
      <c r="H159" s="162"/>
      <c r="I159" s="162"/>
      <c r="J159" s="162"/>
      <c r="K159" s="162"/>
      <c r="L159" s="163"/>
      <c r="M159" s="163"/>
      <c r="N159" s="162"/>
      <c r="O159" s="162"/>
      <c r="P159" s="162"/>
      <c r="Q159" s="162"/>
      <c r="R159" s="162"/>
      <c r="S159" s="162"/>
      <c r="T159" s="162"/>
      <c r="U159" s="162"/>
      <c r="V159" s="162"/>
      <c r="W159" s="162"/>
      <c r="X159" s="162"/>
      <c r="Y159" s="162"/>
      <c r="Z159" s="162"/>
      <c r="AA159" s="162"/>
      <c r="AB159" s="162"/>
      <c r="AC159" s="162"/>
      <c r="AD159" s="162"/>
    </row>
    <row r="160" spans="1:30">
      <c r="A160" s="93"/>
      <c r="B160" s="130"/>
      <c r="C160" s="130"/>
      <c r="D160" s="171"/>
      <c r="E160" s="2" t="str">
        <f t="shared" si="3"/>
        <v/>
      </c>
      <c r="F160" s="89" t="str">
        <f t="shared" si="4"/>
        <v/>
      </c>
      <c r="G160" s="102" t="str">
        <f t="shared" si="5"/>
        <v/>
      </c>
      <c r="H160" s="162"/>
      <c r="I160" s="162"/>
      <c r="J160" s="162"/>
      <c r="K160" s="162"/>
      <c r="L160" s="163"/>
      <c r="M160" s="163"/>
      <c r="N160" s="162"/>
      <c r="O160" s="162"/>
      <c r="P160" s="162"/>
      <c r="Q160" s="162"/>
      <c r="R160" s="162"/>
      <c r="S160" s="162"/>
      <c r="T160" s="162"/>
      <c r="U160" s="162"/>
      <c r="V160" s="162"/>
      <c r="W160" s="162"/>
      <c r="X160" s="162"/>
      <c r="Y160" s="162"/>
      <c r="Z160" s="162"/>
      <c r="AA160" s="162"/>
      <c r="AB160" s="162"/>
      <c r="AC160" s="162"/>
      <c r="AD160" s="162"/>
    </row>
    <row r="161" spans="1:30">
      <c r="A161" s="93"/>
      <c r="B161" s="130"/>
      <c r="C161" s="130"/>
      <c r="D161" s="98"/>
      <c r="E161" s="2" t="str">
        <f t="shared" si="3"/>
        <v/>
      </c>
      <c r="F161" s="89" t="str">
        <f t="shared" si="4"/>
        <v/>
      </c>
      <c r="G161" s="102" t="str">
        <f t="shared" si="5"/>
        <v/>
      </c>
      <c r="H161" s="162"/>
      <c r="I161" s="162"/>
      <c r="J161" s="162"/>
      <c r="K161" s="162"/>
      <c r="L161" s="163"/>
      <c r="M161" s="163"/>
      <c r="N161" s="162"/>
      <c r="O161" s="162"/>
      <c r="P161" s="162"/>
      <c r="Q161" s="162"/>
      <c r="R161" s="162"/>
      <c r="S161" s="162"/>
      <c r="T161" s="162"/>
      <c r="U161" s="162"/>
      <c r="V161" s="162"/>
      <c r="W161" s="162"/>
      <c r="X161" s="162"/>
      <c r="Y161" s="162"/>
      <c r="Z161" s="162"/>
      <c r="AA161" s="162"/>
      <c r="AB161" s="162"/>
      <c r="AC161" s="162"/>
      <c r="AD161" s="162"/>
    </row>
    <row r="162" spans="1:30">
      <c r="A162" s="93"/>
      <c r="B162" s="130"/>
      <c r="C162" s="130"/>
      <c r="D162" s="98"/>
      <c r="E162" s="2" t="str">
        <f t="shared" si="3"/>
        <v/>
      </c>
      <c r="F162" s="89" t="str">
        <f t="shared" si="4"/>
        <v/>
      </c>
      <c r="G162" s="102" t="str">
        <f t="shared" si="5"/>
        <v/>
      </c>
      <c r="H162" s="162"/>
      <c r="I162" s="162"/>
      <c r="J162" s="162"/>
      <c r="K162" s="162"/>
      <c r="L162" s="163"/>
      <c r="M162" s="163"/>
      <c r="N162" s="162"/>
      <c r="O162" s="162"/>
      <c r="P162" s="162"/>
      <c r="Q162" s="162"/>
      <c r="R162" s="162"/>
      <c r="S162" s="162"/>
      <c r="T162" s="162"/>
      <c r="U162" s="162"/>
      <c r="V162" s="162"/>
      <c r="W162" s="162"/>
      <c r="X162" s="162"/>
      <c r="Y162" s="162"/>
      <c r="Z162" s="162"/>
      <c r="AA162" s="162"/>
      <c r="AB162" s="162"/>
      <c r="AC162" s="162"/>
      <c r="AD162" s="162"/>
    </row>
    <row r="163" spans="1:30">
      <c r="A163" s="93"/>
      <c r="B163" s="130"/>
      <c r="C163" s="130"/>
      <c r="D163" s="98"/>
      <c r="E163" s="2" t="str">
        <f t="shared" si="3"/>
        <v/>
      </c>
      <c r="F163" s="89" t="str">
        <f t="shared" si="4"/>
        <v/>
      </c>
      <c r="G163" s="102" t="str">
        <f t="shared" si="5"/>
        <v/>
      </c>
      <c r="H163" s="162"/>
      <c r="I163" s="162"/>
      <c r="J163" s="162"/>
      <c r="K163" s="162"/>
      <c r="L163" s="163"/>
      <c r="M163" s="163"/>
      <c r="N163" s="162"/>
      <c r="O163" s="162"/>
      <c r="P163" s="162"/>
      <c r="Q163" s="162"/>
      <c r="R163" s="162"/>
      <c r="S163" s="162"/>
      <c r="T163" s="162"/>
      <c r="U163" s="162"/>
      <c r="V163" s="162"/>
      <c r="W163" s="162"/>
      <c r="X163" s="162"/>
      <c r="Y163" s="162"/>
      <c r="Z163" s="162"/>
      <c r="AA163" s="162"/>
      <c r="AB163" s="162"/>
      <c r="AC163" s="162"/>
      <c r="AD163" s="162"/>
    </row>
    <row r="164" spans="1:30">
      <c r="A164" s="93"/>
      <c r="B164" s="130"/>
      <c r="C164" s="130"/>
      <c r="D164" s="98"/>
      <c r="E164" s="2" t="str">
        <f t="shared" si="3"/>
        <v/>
      </c>
      <c r="F164" s="89" t="str">
        <f t="shared" si="4"/>
        <v/>
      </c>
      <c r="G164" s="102" t="str">
        <f t="shared" si="5"/>
        <v/>
      </c>
      <c r="H164" s="162"/>
      <c r="I164" s="162"/>
      <c r="J164" s="162"/>
      <c r="K164" s="162"/>
      <c r="L164" s="163"/>
      <c r="M164" s="163"/>
      <c r="N164" s="162"/>
      <c r="O164" s="162"/>
      <c r="P164" s="162"/>
      <c r="Q164" s="162"/>
      <c r="R164" s="162"/>
      <c r="S164" s="162"/>
      <c r="T164" s="162"/>
      <c r="U164" s="162"/>
      <c r="V164" s="162"/>
      <c r="W164" s="162"/>
      <c r="X164" s="162"/>
      <c r="Y164" s="162"/>
      <c r="Z164" s="162"/>
      <c r="AA164" s="162"/>
      <c r="AB164" s="162"/>
      <c r="AC164" s="162"/>
      <c r="AD164" s="162"/>
    </row>
    <row r="165" spans="1:30">
      <c r="A165" s="93"/>
      <c r="B165" s="130"/>
      <c r="C165" s="130"/>
      <c r="D165" s="98"/>
      <c r="E165" s="2" t="str">
        <f t="shared" si="3"/>
        <v/>
      </c>
      <c r="F165" s="89" t="str">
        <f t="shared" si="4"/>
        <v/>
      </c>
      <c r="G165" s="102" t="str">
        <f t="shared" si="5"/>
        <v/>
      </c>
      <c r="H165" s="162"/>
      <c r="I165" s="162"/>
      <c r="J165" s="162"/>
      <c r="K165" s="162"/>
      <c r="L165" s="163"/>
      <c r="M165" s="163"/>
      <c r="N165" s="162"/>
      <c r="O165" s="162"/>
      <c r="P165" s="162"/>
      <c r="Q165" s="162"/>
      <c r="R165" s="162"/>
      <c r="S165" s="162"/>
      <c r="T165" s="162"/>
      <c r="U165" s="162"/>
      <c r="V165" s="162"/>
      <c r="W165" s="162"/>
      <c r="X165" s="162"/>
      <c r="Y165" s="162"/>
      <c r="Z165" s="162"/>
      <c r="AA165" s="162"/>
      <c r="AB165" s="162"/>
      <c r="AC165" s="162"/>
      <c r="AD165" s="162"/>
    </row>
    <row r="166" spans="1:30">
      <c r="A166" s="93"/>
      <c r="B166" s="130"/>
      <c r="C166" s="130"/>
      <c r="D166" s="98"/>
      <c r="E166" s="2" t="str">
        <f t="shared" si="3"/>
        <v/>
      </c>
      <c r="F166" s="89" t="str">
        <f t="shared" si="4"/>
        <v/>
      </c>
      <c r="G166" s="102" t="str">
        <f t="shared" si="5"/>
        <v/>
      </c>
      <c r="H166" s="162"/>
      <c r="I166" s="162"/>
      <c r="J166" s="162"/>
      <c r="K166" s="162"/>
      <c r="L166" s="163"/>
      <c r="M166" s="163"/>
      <c r="N166" s="162"/>
      <c r="O166" s="162"/>
      <c r="P166" s="162"/>
      <c r="Q166" s="162"/>
      <c r="R166" s="162"/>
      <c r="S166" s="162"/>
      <c r="T166" s="162"/>
      <c r="U166" s="162"/>
      <c r="V166" s="162"/>
      <c r="W166" s="162"/>
      <c r="X166" s="162"/>
      <c r="Y166" s="162"/>
      <c r="Z166" s="162"/>
      <c r="AA166" s="162"/>
      <c r="AB166" s="162"/>
      <c r="AC166" s="162"/>
      <c r="AD166" s="162"/>
    </row>
    <row r="167" spans="1:30">
      <c r="A167" s="93"/>
      <c r="B167" s="130"/>
      <c r="C167" s="130"/>
      <c r="D167" s="98"/>
      <c r="E167" s="2" t="str">
        <f t="shared" si="3"/>
        <v/>
      </c>
      <c r="F167" s="89" t="str">
        <f t="shared" si="4"/>
        <v/>
      </c>
      <c r="G167" s="102" t="str">
        <f t="shared" si="5"/>
        <v/>
      </c>
      <c r="H167" s="162"/>
      <c r="I167" s="162"/>
      <c r="J167" s="162"/>
      <c r="K167" s="162"/>
      <c r="L167" s="163"/>
      <c r="M167" s="163"/>
      <c r="N167" s="162"/>
      <c r="O167" s="162"/>
      <c r="P167" s="162"/>
      <c r="Q167" s="162"/>
      <c r="R167" s="162"/>
      <c r="S167" s="162"/>
      <c r="T167" s="162"/>
      <c r="U167" s="162"/>
      <c r="V167" s="162"/>
      <c r="W167" s="162"/>
      <c r="X167" s="162"/>
      <c r="Y167" s="162"/>
      <c r="Z167" s="162"/>
      <c r="AA167" s="162"/>
      <c r="AB167" s="162"/>
      <c r="AC167" s="162"/>
      <c r="AD167" s="162"/>
    </row>
    <row r="168" spans="1:30">
      <c r="A168" s="93"/>
      <c r="B168" s="130"/>
      <c r="C168" s="130"/>
      <c r="D168" s="98"/>
      <c r="E168" s="2" t="str">
        <f t="shared" si="3"/>
        <v/>
      </c>
      <c r="F168" s="89" t="str">
        <f t="shared" si="4"/>
        <v/>
      </c>
      <c r="G168" s="102" t="str">
        <f t="shared" si="5"/>
        <v/>
      </c>
      <c r="H168" s="162"/>
      <c r="I168" s="162"/>
      <c r="J168" s="162"/>
      <c r="K168" s="162"/>
      <c r="L168" s="163"/>
      <c r="M168" s="163"/>
      <c r="N168" s="162"/>
      <c r="O168" s="162"/>
      <c r="P168" s="162"/>
      <c r="Q168" s="162"/>
      <c r="R168" s="162"/>
      <c r="S168" s="162"/>
      <c r="T168" s="162"/>
      <c r="U168" s="162"/>
      <c r="V168" s="162"/>
      <c r="W168" s="162"/>
      <c r="X168" s="162"/>
      <c r="Y168" s="162"/>
      <c r="Z168" s="162"/>
      <c r="AA168" s="162"/>
      <c r="AB168" s="162"/>
      <c r="AC168" s="162"/>
      <c r="AD168" s="162"/>
    </row>
    <row r="169" spans="1:30">
      <c r="A169" s="93"/>
      <c r="B169" s="130"/>
      <c r="C169" s="130"/>
      <c r="D169" s="98"/>
      <c r="E169" s="2" t="str">
        <f t="shared" si="3"/>
        <v/>
      </c>
      <c r="F169" s="89" t="str">
        <f t="shared" si="4"/>
        <v/>
      </c>
      <c r="G169" s="102" t="str">
        <f t="shared" si="5"/>
        <v/>
      </c>
      <c r="H169" s="162"/>
      <c r="I169" s="162"/>
      <c r="J169" s="162"/>
      <c r="K169" s="162"/>
      <c r="L169" s="163"/>
      <c r="M169" s="163"/>
      <c r="N169" s="162"/>
      <c r="O169" s="162"/>
      <c r="P169" s="162"/>
      <c r="Q169" s="162"/>
      <c r="R169" s="162"/>
      <c r="S169" s="162"/>
      <c r="T169" s="162"/>
      <c r="U169" s="162"/>
      <c r="V169" s="162"/>
      <c r="W169" s="162"/>
      <c r="X169" s="162"/>
      <c r="Y169" s="162"/>
      <c r="Z169" s="162"/>
      <c r="AA169" s="162"/>
      <c r="AB169" s="162"/>
      <c r="AC169" s="162"/>
      <c r="AD169" s="162"/>
    </row>
    <row r="170" spans="1:30">
      <c r="A170" s="93"/>
      <c r="B170" s="130"/>
      <c r="C170" s="130"/>
      <c r="D170" s="98"/>
      <c r="E170" s="2" t="str">
        <f t="shared" si="3"/>
        <v/>
      </c>
      <c r="F170" s="89" t="str">
        <f t="shared" si="4"/>
        <v/>
      </c>
      <c r="G170" s="102" t="str">
        <f t="shared" si="5"/>
        <v/>
      </c>
      <c r="H170" s="162"/>
      <c r="I170" s="162"/>
      <c r="J170" s="162"/>
      <c r="K170" s="162"/>
      <c r="L170" s="163"/>
      <c r="M170" s="163"/>
      <c r="N170" s="162"/>
      <c r="O170" s="162"/>
      <c r="P170" s="162"/>
      <c r="Q170" s="162"/>
      <c r="R170" s="162"/>
      <c r="S170" s="162"/>
      <c r="T170" s="162"/>
      <c r="U170" s="162"/>
      <c r="V170" s="162"/>
      <c r="W170" s="162"/>
      <c r="X170" s="162"/>
      <c r="Y170" s="162"/>
      <c r="Z170" s="162"/>
      <c r="AA170" s="162"/>
      <c r="AB170" s="162"/>
      <c r="AC170" s="162"/>
      <c r="AD170" s="162"/>
    </row>
    <row r="171" spans="1:30">
      <c r="A171" s="93"/>
      <c r="B171" s="130"/>
      <c r="C171" s="130"/>
      <c r="D171" s="98"/>
      <c r="E171" s="2" t="str">
        <f t="shared" si="3"/>
        <v/>
      </c>
      <c r="F171" s="89" t="str">
        <f t="shared" si="4"/>
        <v/>
      </c>
      <c r="G171" s="102" t="str">
        <f t="shared" si="5"/>
        <v/>
      </c>
      <c r="H171" s="162"/>
      <c r="I171" s="162"/>
      <c r="J171" s="162"/>
      <c r="K171" s="162"/>
      <c r="L171" s="163"/>
      <c r="M171" s="163"/>
      <c r="N171" s="162"/>
      <c r="O171" s="162"/>
      <c r="P171" s="162"/>
      <c r="Q171" s="162"/>
      <c r="R171" s="162"/>
      <c r="S171" s="162"/>
      <c r="T171" s="162"/>
      <c r="U171" s="162"/>
      <c r="V171" s="162"/>
      <c r="W171" s="162"/>
      <c r="X171" s="162"/>
      <c r="Y171" s="162"/>
      <c r="Z171" s="162"/>
      <c r="AA171" s="162"/>
      <c r="AB171" s="162"/>
      <c r="AC171" s="162"/>
      <c r="AD171" s="162"/>
    </row>
    <row r="172" spans="1:30">
      <c r="A172" s="93"/>
      <c r="B172" s="130"/>
      <c r="C172" s="130"/>
      <c r="D172" s="98"/>
      <c r="E172" s="2" t="str">
        <f t="shared" si="3"/>
        <v/>
      </c>
      <c r="F172" s="89" t="str">
        <f t="shared" si="4"/>
        <v/>
      </c>
      <c r="G172" s="102" t="str">
        <f t="shared" si="5"/>
        <v/>
      </c>
      <c r="H172" s="162"/>
      <c r="I172" s="162"/>
      <c r="J172" s="162"/>
      <c r="K172" s="162"/>
      <c r="L172" s="163"/>
      <c r="M172" s="163"/>
      <c r="N172" s="162"/>
      <c r="O172" s="162"/>
      <c r="P172" s="162"/>
      <c r="Q172" s="162"/>
      <c r="R172" s="162"/>
      <c r="S172" s="162"/>
      <c r="T172" s="162"/>
      <c r="U172" s="162"/>
      <c r="V172" s="162"/>
      <c r="W172" s="162"/>
      <c r="X172" s="162"/>
      <c r="Y172" s="162"/>
      <c r="Z172" s="162"/>
      <c r="AA172" s="162"/>
      <c r="AB172" s="162"/>
      <c r="AC172" s="162"/>
      <c r="AD172" s="162"/>
    </row>
    <row r="173" spans="1:30">
      <c r="A173" s="93"/>
      <c r="B173" s="130"/>
      <c r="C173" s="130"/>
      <c r="D173" s="98"/>
      <c r="E173" s="2" t="str">
        <f t="shared" si="3"/>
        <v/>
      </c>
      <c r="F173" s="89" t="str">
        <f t="shared" si="4"/>
        <v/>
      </c>
      <c r="G173" s="102" t="str">
        <f t="shared" si="5"/>
        <v/>
      </c>
      <c r="H173" s="162"/>
      <c r="I173" s="162"/>
      <c r="J173" s="162"/>
      <c r="K173" s="162"/>
      <c r="L173" s="163"/>
      <c r="M173" s="163"/>
      <c r="N173" s="162"/>
      <c r="O173" s="162"/>
      <c r="P173" s="162"/>
      <c r="Q173" s="162"/>
      <c r="R173" s="162"/>
      <c r="S173" s="162"/>
      <c r="T173" s="162"/>
      <c r="U173" s="162"/>
      <c r="V173" s="162"/>
      <c r="W173" s="162"/>
      <c r="X173" s="162"/>
      <c r="Y173" s="162"/>
      <c r="Z173" s="162"/>
      <c r="AA173" s="162"/>
      <c r="AB173" s="162"/>
      <c r="AC173" s="162"/>
      <c r="AD173" s="162"/>
    </row>
    <row r="174" spans="1:30">
      <c r="A174" s="93"/>
      <c r="B174" s="130"/>
      <c r="C174" s="130"/>
      <c r="D174" s="98"/>
      <c r="E174" s="2" t="str">
        <f t="shared" si="3"/>
        <v/>
      </c>
      <c r="F174" s="89" t="str">
        <f t="shared" si="4"/>
        <v/>
      </c>
      <c r="G174" s="102" t="str">
        <f t="shared" si="5"/>
        <v/>
      </c>
      <c r="H174" s="162"/>
      <c r="I174" s="162"/>
      <c r="J174" s="162"/>
      <c r="K174" s="162"/>
      <c r="L174" s="163"/>
      <c r="M174" s="163"/>
      <c r="N174" s="162"/>
      <c r="O174" s="162"/>
      <c r="P174" s="162"/>
      <c r="Q174" s="162"/>
      <c r="R174" s="162"/>
      <c r="S174" s="162"/>
      <c r="T174" s="162"/>
      <c r="U174" s="162"/>
      <c r="V174" s="162"/>
      <c r="W174" s="162"/>
      <c r="X174" s="162"/>
      <c r="Y174" s="162"/>
      <c r="Z174" s="162"/>
      <c r="AA174" s="162"/>
      <c r="AB174" s="162"/>
      <c r="AC174" s="162"/>
      <c r="AD174" s="162"/>
    </row>
    <row r="175" spans="1:30">
      <c r="A175" s="93"/>
      <c r="B175" s="130"/>
      <c r="C175" s="130"/>
      <c r="D175" s="98"/>
      <c r="E175" s="2" t="str">
        <f t="shared" si="3"/>
        <v/>
      </c>
      <c r="F175" s="89" t="str">
        <f t="shared" si="4"/>
        <v/>
      </c>
      <c r="G175" s="102" t="str">
        <f t="shared" si="5"/>
        <v/>
      </c>
      <c r="H175" s="162"/>
      <c r="I175" s="162"/>
      <c r="J175" s="162"/>
      <c r="K175" s="162"/>
      <c r="L175" s="163"/>
      <c r="M175" s="163"/>
      <c r="N175" s="162"/>
      <c r="O175" s="162"/>
      <c r="P175" s="162"/>
      <c r="Q175" s="162"/>
      <c r="R175" s="162"/>
      <c r="S175" s="162"/>
      <c r="T175" s="162"/>
      <c r="U175" s="162"/>
      <c r="V175" s="162"/>
      <c r="W175" s="162"/>
      <c r="X175" s="162"/>
      <c r="Y175" s="162"/>
      <c r="Z175" s="162"/>
      <c r="AA175" s="162"/>
      <c r="AB175" s="162"/>
      <c r="AC175" s="162"/>
      <c r="AD175" s="162"/>
    </row>
    <row r="176" spans="1:30">
      <c r="A176" s="93"/>
      <c r="B176" s="130"/>
      <c r="C176" s="130"/>
      <c r="D176" s="98"/>
      <c r="E176" s="2" t="str">
        <f t="shared" si="3"/>
        <v/>
      </c>
      <c r="F176" s="89" t="str">
        <f t="shared" si="4"/>
        <v/>
      </c>
      <c r="G176" s="102" t="str">
        <f t="shared" si="5"/>
        <v/>
      </c>
      <c r="H176" s="162"/>
      <c r="I176" s="162"/>
      <c r="J176" s="162"/>
      <c r="K176" s="162"/>
      <c r="L176" s="163"/>
      <c r="M176" s="163"/>
      <c r="N176" s="162"/>
      <c r="O176" s="162"/>
      <c r="P176" s="162"/>
      <c r="Q176" s="162"/>
      <c r="R176" s="162"/>
      <c r="S176" s="162"/>
      <c r="T176" s="162"/>
      <c r="U176" s="162"/>
      <c r="V176" s="162"/>
      <c r="W176" s="162"/>
      <c r="X176" s="162"/>
      <c r="Y176" s="162"/>
      <c r="Z176" s="162"/>
      <c r="AA176" s="162"/>
      <c r="AB176" s="162"/>
      <c r="AC176" s="162"/>
      <c r="AD176" s="162"/>
    </row>
    <row r="177" spans="1:30">
      <c r="A177" s="93"/>
      <c r="B177" s="130"/>
      <c r="C177" s="130"/>
      <c r="D177" s="98"/>
      <c r="E177" s="2" t="str">
        <f t="shared" si="3"/>
        <v/>
      </c>
      <c r="F177" s="89" t="str">
        <f t="shared" si="4"/>
        <v/>
      </c>
      <c r="G177" s="102" t="str">
        <f t="shared" si="5"/>
        <v/>
      </c>
      <c r="H177" s="162"/>
      <c r="I177" s="162"/>
      <c r="J177" s="162"/>
      <c r="K177" s="162"/>
      <c r="L177" s="163"/>
      <c r="M177" s="163"/>
      <c r="N177" s="162"/>
      <c r="O177" s="162"/>
      <c r="P177" s="162"/>
      <c r="Q177" s="162"/>
      <c r="R177" s="162"/>
      <c r="S177" s="162"/>
      <c r="T177" s="162"/>
      <c r="U177" s="162"/>
      <c r="V177" s="162"/>
      <c r="W177" s="162"/>
      <c r="X177" s="162"/>
      <c r="Y177" s="162"/>
      <c r="Z177" s="162"/>
      <c r="AA177" s="162"/>
      <c r="AB177" s="162"/>
      <c r="AC177" s="162"/>
      <c r="AD177" s="162"/>
    </row>
    <row r="178" spans="1:30">
      <c r="A178" s="93"/>
      <c r="B178" s="130"/>
      <c r="C178" s="130"/>
      <c r="D178" s="98"/>
      <c r="E178" s="2" t="str">
        <f t="shared" si="3"/>
        <v/>
      </c>
      <c r="F178" s="89" t="str">
        <f t="shared" si="4"/>
        <v/>
      </c>
      <c r="G178" s="102" t="str">
        <f t="shared" si="5"/>
        <v/>
      </c>
      <c r="H178" s="162"/>
      <c r="I178" s="162"/>
      <c r="J178" s="162"/>
      <c r="K178" s="162"/>
      <c r="L178" s="163"/>
      <c r="M178" s="163"/>
      <c r="N178" s="162"/>
      <c r="O178" s="162"/>
      <c r="P178" s="162"/>
      <c r="Q178" s="162"/>
      <c r="R178" s="162"/>
      <c r="S178" s="162"/>
      <c r="T178" s="162"/>
      <c r="U178" s="162"/>
      <c r="V178" s="162"/>
      <c r="W178" s="162"/>
      <c r="X178" s="162"/>
      <c r="Y178" s="162"/>
      <c r="Z178" s="162"/>
      <c r="AA178" s="162"/>
      <c r="AB178" s="162"/>
      <c r="AC178" s="162"/>
      <c r="AD178" s="162"/>
    </row>
    <row r="179" spans="1:30">
      <c r="A179" s="93"/>
      <c r="B179" s="130"/>
      <c r="C179" s="130"/>
      <c r="D179" s="98"/>
      <c r="E179" s="2" t="str">
        <f t="shared" si="3"/>
        <v/>
      </c>
      <c r="F179" s="89" t="str">
        <f t="shared" si="4"/>
        <v/>
      </c>
      <c r="G179" s="102" t="str">
        <f t="shared" si="5"/>
        <v/>
      </c>
      <c r="H179" s="162"/>
      <c r="I179" s="162"/>
      <c r="J179" s="162"/>
      <c r="K179" s="162"/>
      <c r="L179" s="163"/>
      <c r="M179" s="163"/>
      <c r="N179" s="162"/>
      <c r="O179" s="162"/>
      <c r="P179" s="162"/>
      <c r="Q179" s="162"/>
      <c r="R179" s="162"/>
      <c r="S179" s="162"/>
      <c r="T179" s="162"/>
      <c r="U179" s="162"/>
      <c r="V179" s="162"/>
      <c r="W179" s="162"/>
      <c r="X179" s="162"/>
      <c r="Y179" s="162"/>
      <c r="Z179" s="162"/>
      <c r="AA179" s="162"/>
      <c r="AB179" s="162"/>
      <c r="AC179" s="162"/>
      <c r="AD179" s="162"/>
    </row>
    <row r="180" spans="1:30">
      <c r="A180" s="93"/>
      <c r="B180" s="130"/>
      <c r="C180" s="130"/>
      <c r="D180" s="98"/>
      <c r="E180" s="2" t="str">
        <f t="shared" si="3"/>
        <v/>
      </c>
      <c r="F180" s="89" t="str">
        <f t="shared" si="4"/>
        <v/>
      </c>
      <c r="G180" s="102" t="str">
        <f t="shared" si="5"/>
        <v/>
      </c>
      <c r="H180" s="162"/>
      <c r="I180" s="162"/>
      <c r="J180" s="162"/>
      <c r="K180" s="162"/>
      <c r="L180" s="163"/>
      <c r="M180" s="163"/>
      <c r="N180" s="162"/>
      <c r="O180" s="162"/>
      <c r="P180" s="162"/>
      <c r="Q180" s="162"/>
      <c r="R180" s="162"/>
      <c r="S180" s="162"/>
      <c r="T180" s="162"/>
      <c r="U180" s="162"/>
      <c r="V180" s="162"/>
      <c r="W180" s="162"/>
      <c r="X180" s="162"/>
      <c r="Y180" s="162"/>
      <c r="Z180" s="162"/>
      <c r="AA180" s="162"/>
      <c r="AB180" s="162"/>
      <c r="AC180" s="162"/>
      <c r="AD180" s="162"/>
    </row>
    <row r="181" spans="1:30">
      <c r="A181" s="93"/>
      <c r="B181" s="130"/>
      <c r="C181" s="130"/>
      <c r="D181" s="98"/>
      <c r="E181" s="2" t="str">
        <f t="shared" si="3"/>
        <v/>
      </c>
      <c r="F181" s="89" t="str">
        <f t="shared" si="4"/>
        <v/>
      </c>
      <c r="G181" s="102" t="str">
        <f t="shared" si="5"/>
        <v/>
      </c>
      <c r="H181" s="162"/>
      <c r="I181" s="162"/>
      <c r="J181" s="162"/>
      <c r="K181" s="162"/>
      <c r="L181" s="163"/>
      <c r="M181" s="163"/>
      <c r="N181" s="162"/>
      <c r="O181" s="162"/>
      <c r="P181" s="162"/>
      <c r="Q181" s="162"/>
      <c r="R181" s="162"/>
      <c r="S181" s="162"/>
      <c r="T181" s="162"/>
      <c r="U181" s="162"/>
      <c r="V181" s="162"/>
      <c r="W181" s="162"/>
      <c r="X181" s="162"/>
      <c r="Y181" s="162"/>
      <c r="Z181" s="162"/>
      <c r="AA181" s="162"/>
      <c r="AB181" s="162"/>
      <c r="AC181" s="162"/>
      <c r="AD181" s="162"/>
    </row>
    <row r="182" spans="1:30">
      <c r="A182" s="93"/>
      <c r="B182" s="130"/>
      <c r="C182" s="130"/>
      <c r="D182" s="98"/>
      <c r="E182" s="2" t="str">
        <f t="shared" si="3"/>
        <v/>
      </c>
      <c r="F182" s="89" t="str">
        <f t="shared" si="4"/>
        <v/>
      </c>
      <c r="G182" s="102" t="str">
        <f t="shared" si="5"/>
        <v/>
      </c>
      <c r="H182" s="162"/>
      <c r="I182" s="162"/>
      <c r="J182" s="162"/>
      <c r="K182" s="162"/>
      <c r="L182" s="163"/>
      <c r="M182" s="163"/>
      <c r="N182" s="162"/>
      <c r="O182" s="162"/>
      <c r="P182" s="162"/>
      <c r="Q182" s="162"/>
      <c r="R182" s="162"/>
      <c r="S182" s="162"/>
      <c r="T182" s="162"/>
      <c r="U182" s="162"/>
      <c r="V182" s="162"/>
      <c r="W182" s="162"/>
      <c r="X182" s="162"/>
      <c r="Y182" s="162"/>
      <c r="Z182" s="162"/>
      <c r="AA182" s="162"/>
      <c r="AB182" s="162"/>
      <c r="AC182" s="162"/>
      <c r="AD182" s="162"/>
    </row>
    <row r="183" spans="1:30">
      <c r="A183" s="93"/>
      <c r="B183" s="130"/>
      <c r="C183" s="130"/>
      <c r="D183" s="98"/>
      <c r="E183" s="2" t="str">
        <f t="shared" si="3"/>
        <v/>
      </c>
      <c r="F183" s="89" t="str">
        <f t="shared" si="4"/>
        <v/>
      </c>
      <c r="G183" s="102" t="str">
        <f t="shared" si="5"/>
        <v/>
      </c>
      <c r="H183" s="162"/>
      <c r="I183" s="162"/>
      <c r="J183" s="162"/>
      <c r="K183" s="162"/>
      <c r="L183" s="163"/>
      <c r="M183" s="163"/>
      <c r="N183" s="162"/>
      <c r="O183" s="162"/>
      <c r="P183" s="162"/>
      <c r="Q183" s="162"/>
      <c r="R183" s="162"/>
      <c r="S183" s="162"/>
      <c r="T183" s="162"/>
      <c r="U183" s="162"/>
      <c r="V183" s="162"/>
      <c r="W183" s="162"/>
      <c r="X183" s="162"/>
      <c r="Y183" s="162"/>
      <c r="Z183" s="162"/>
      <c r="AA183" s="162"/>
      <c r="AB183" s="162"/>
      <c r="AC183" s="162"/>
      <c r="AD183" s="162"/>
    </row>
    <row r="184" spans="1:30">
      <c r="A184" s="93"/>
      <c r="B184" s="130"/>
      <c r="C184" s="130"/>
      <c r="D184" s="98"/>
      <c r="E184" s="2" t="str">
        <f t="shared" si="3"/>
        <v/>
      </c>
      <c r="F184" s="89" t="str">
        <f t="shared" si="4"/>
        <v/>
      </c>
      <c r="G184" s="102" t="str">
        <f t="shared" si="5"/>
        <v/>
      </c>
      <c r="H184" s="162"/>
      <c r="I184" s="162"/>
      <c r="J184" s="162"/>
      <c r="K184" s="162"/>
      <c r="L184" s="163"/>
      <c r="M184" s="163"/>
      <c r="N184" s="162"/>
      <c r="O184" s="162"/>
      <c r="P184" s="162"/>
      <c r="Q184" s="162"/>
      <c r="R184" s="162"/>
      <c r="S184" s="162"/>
      <c r="T184" s="162"/>
      <c r="U184" s="162"/>
      <c r="V184" s="162"/>
      <c r="W184" s="162"/>
      <c r="X184" s="162"/>
      <c r="Y184" s="162"/>
      <c r="Z184" s="162"/>
      <c r="AA184" s="162"/>
      <c r="AB184" s="162"/>
      <c r="AC184" s="162"/>
      <c r="AD184" s="162"/>
    </row>
    <row r="185" spans="1:30">
      <c r="A185" s="93"/>
      <c r="B185" s="130"/>
      <c r="C185" s="130"/>
      <c r="D185" s="98"/>
      <c r="E185" s="2" t="str">
        <f t="shared" si="3"/>
        <v/>
      </c>
      <c r="F185" s="89" t="str">
        <f t="shared" si="4"/>
        <v/>
      </c>
      <c r="G185" s="102" t="str">
        <f t="shared" si="5"/>
        <v/>
      </c>
      <c r="H185" s="162"/>
      <c r="I185" s="162"/>
      <c r="J185" s="162"/>
      <c r="K185" s="162"/>
      <c r="L185" s="163"/>
      <c r="M185" s="163"/>
      <c r="N185" s="162"/>
      <c r="O185" s="162"/>
      <c r="P185" s="162"/>
      <c r="Q185" s="162"/>
      <c r="R185" s="162"/>
      <c r="S185" s="162"/>
      <c r="T185" s="162"/>
      <c r="U185" s="162"/>
      <c r="V185" s="162"/>
      <c r="W185" s="162"/>
      <c r="X185" s="162"/>
      <c r="Y185" s="162"/>
      <c r="Z185" s="162"/>
      <c r="AA185" s="162"/>
      <c r="AB185" s="162"/>
      <c r="AC185" s="162"/>
      <c r="AD185" s="162"/>
    </row>
    <row r="186" spans="1:30">
      <c r="A186" s="93"/>
      <c r="B186" s="130"/>
      <c r="C186" s="130"/>
      <c r="D186" s="98"/>
      <c r="E186" s="2" t="str">
        <f t="shared" si="3"/>
        <v/>
      </c>
      <c r="F186" s="89" t="str">
        <f t="shared" si="4"/>
        <v/>
      </c>
      <c r="G186" s="102" t="str">
        <f t="shared" si="5"/>
        <v/>
      </c>
      <c r="H186" s="162"/>
      <c r="I186" s="162"/>
      <c r="J186" s="162"/>
      <c r="K186" s="162"/>
      <c r="L186" s="163"/>
      <c r="M186" s="163"/>
      <c r="N186" s="162"/>
      <c r="O186" s="162"/>
      <c r="P186" s="162"/>
      <c r="Q186" s="162"/>
      <c r="R186" s="162"/>
      <c r="S186" s="162"/>
      <c r="T186" s="162"/>
      <c r="U186" s="162"/>
      <c r="V186" s="162"/>
      <c r="W186" s="162"/>
      <c r="X186" s="162"/>
      <c r="Y186" s="162"/>
      <c r="Z186" s="162"/>
      <c r="AA186" s="162"/>
      <c r="AB186" s="162"/>
      <c r="AC186" s="162"/>
      <c r="AD186" s="162"/>
    </row>
    <row r="187" spans="1:30">
      <c r="A187" s="93"/>
      <c r="B187" s="130"/>
      <c r="C187" s="130"/>
      <c r="D187" s="98"/>
      <c r="E187" s="2" t="str">
        <f t="shared" si="3"/>
        <v/>
      </c>
      <c r="F187" s="89" t="str">
        <f t="shared" si="4"/>
        <v/>
      </c>
      <c r="G187" s="102" t="str">
        <f t="shared" si="5"/>
        <v/>
      </c>
      <c r="H187" s="162"/>
      <c r="I187" s="162"/>
      <c r="J187" s="162"/>
      <c r="K187" s="162"/>
      <c r="L187" s="163"/>
      <c r="M187" s="163"/>
      <c r="N187" s="162"/>
      <c r="O187" s="162"/>
      <c r="P187" s="162"/>
      <c r="Q187" s="162"/>
      <c r="R187" s="162"/>
      <c r="S187" s="162"/>
      <c r="T187" s="162"/>
      <c r="U187" s="162"/>
      <c r="V187" s="162"/>
      <c r="W187" s="162"/>
      <c r="X187" s="162"/>
      <c r="Y187" s="162"/>
      <c r="Z187" s="162"/>
      <c r="AA187" s="162"/>
      <c r="AB187" s="162"/>
      <c r="AC187" s="162"/>
      <c r="AD187" s="162"/>
    </row>
    <row r="188" spans="1:30">
      <c r="A188" s="93"/>
      <c r="B188" s="130"/>
      <c r="C188" s="130"/>
      <c r="D188" s="98"/>
      <c r="E188" s="2" t="str">
        <f t="shared" si="3"/>
        <v/>
      </c>
      <c r="F188" s="89" t="str">
        <f t="shared" si="4"/>
        <v/>
      </c>
      <c r="G188" s="102" t="str">
        <f t="shared" si="5"/>
        <v/>
      </c>
      <c r="H188" s="162"/>
      <c r="I188" s="162"/>
      <c r="J188" s="162"/>
      <c r="K188" s="162"/>
      <c r="L188" s="163"/>
      <c r="M188" s="163"/>
      <c r="N188" s="162"/>
      <c r="O188" s="162"/>
      <c r="P188" s="162"/>
      <c r="Q188" s="162"/>
      <c r="R188" s="162"/>
      <c r="S188" s="162"/>
      <c r="T188" s="162"/>
      <c r="U188" s="162"/>
      <c r="V188" s="162"/>
      <c r="W188" s="162"/>
      <c r="X188" s="162"/>
      <c r="Y188" s="162"/>
      <c r="Z188" s="162"/>
      <c r="AA188" s="162"/>
      <c r="AB188" s="162"/>
      <c r="AC188" s="162"/>
      <c r="AD188" s="162"/>
    </row>
    <row r="189" spans="1:30">
      <c r="A189" s="93"/>
      <c r="B189" s="130"/>
      <c r="C189" s="130"/>
      <c r="D189" s="98"/>
      <c r="E189" s="2" t="str">
        <f t="shared" si="3"/>
        <v/>
      </c>
      <c r="F189" s="89" t="str">
        <f t="shared" si="4"/>
        <v/>
      </c>
      <c r="G189" s="102" t="str">
        <f t="shared" si="5"/>
        <v/>
      </c>
      <c r="H189" s="162"/>
      <c r="I189" s="162"/>
      <c r="J189" s="162"/>
      <c r="K189" s="162"/>
      <c r="L189" s="163"/>
      <c r="M189" s="163"/>
      <c r="N189" s="162"/>
      <c r="O189" s="162"/>
      <c r="P189" s="162"/>
      <c r="Q189" s="162"/>
      <c r="R189" s="162"/>
      <c r="S189" s="162"/>
      <c r="T189" s="162"/>
      <c r="U189" s="162"/>
      <c r="V189" s="162"/>
      <c r="W189" s="162"/>
      <c r="X189" s="162"/>
      <c r="Y189" s="162"/>
      <c r="Z189" s="162"/>
      <c r="AA189" s="162"/>
      <c r="AB189" s="162"/>
      <c r="AC189" s="162"/>
      <c r="AD189" s="162"/>
    </row>
    <row r="190" spans="1:30">
      <c r="A190" s="93"/>
      <c r="B190" s="130"/>
      <c r="C190" s="130"/>
      <c r="D190" s="98"/>
      <c r="E190" s="2" t="str">
        <f t="shared" si="3"/>
        <v/>
      </c>
      <c r="F190" s="89" t="str">
        <f t="shared" si="4"/>
        <v/>
      </c>
      <c r="G190" s="102" t="str">
        <f t="shared" si="5"/>
        <v/>
      </c>
      <c r="H190" s="162"/>
      <c r="I190" s="162"/>
      <c r="J190" s="162"/>
      <c r="K190" s="162"/>
      <c r="L190" s="163"/>
      <c r="M190" s="163"/>
      <c r="N190" s="162"/>
      <c r="O190" s="162"/>
      <c r="P190" s="162"/>
      <c r="Q190" s="162"/>
      <c r="R190" s="162"/>
      <c r="S190" s="162"/>
      <c r="T190" s="162"/>
      <c r="U190" s="162"/>
      <c r="V190" s="162"/>
      <c r="W190" s="162"/>
      <c r="X190" s="162"/>
      <c r="Y190" s="162"/>
      <c r="Z190" s="162"/>
      <c r="AA190" s="162"/>
      <c r="AB190" s="162"/>
      <c r="AC190" s="162"/>
      <c r="AD190" s="162"/>
    </row>
    <row r="191" spans="1:30">
      <c r="A191" s="93"/>
      <c r="B191" s="130"/>
      <c r="C191" s="130"/>
      <c r="D191" s="98"/>
      <c r="E191" s="2" t="str">
        <f t="shared" si="3"/>
        <v/>
      </c>
      <c r="F191" s="89" t="str">
        <f t="shared" si="4"/>
        <v/>
      </c>
      <c r="G191" s="102" t="str">
        <f t="shared" si="5"/>
        <v/>
      </c>
      <c r="H191" s="162"/>
      <c r="I191" s="162"/>
      <c r="J191" s="162"/>
      <c r="K191" s="162"/>
      <c r="L191" s="163"/>
      <c r="M191" s="163"/>
      <c r="N191" s="162"/>
      <c r="O191" s="162"/>
      <c r="P191" s="162"/>
      <c r="Q191" s="162"/>
      <c r="R191" s="162"/>
      <c r="S191" s="162"/>
      <c r="T191" s="162"/>
      <c r="U191" s="162"/>
      <c r="V191" s="162"/>
      <c r="W191" s="162"/>
      <c r="X191" s="162"/>
      <c r="Y191" s="162"/>
      <c r="Z191" s="162"/>
      <c r="AA191" s="162"/>
      <c r="AB191" s="162"/>
      <c r="AC191" s="162"/>
      <c r="AD191" s="162"/>
    </row>
    <row r="192" spans="1:30">
      <c r="A192" s="93"/>
      <c r="B192" s="130"/>
      <c r="C192" s="130"/>
      <c r="D192" s="98"/>
      <c r="E192" s="2" t="str">
        <f t="shared" si="3"/>
        <v/>
      </c>
      <c r="F192" s="89" t="str">
        <f t="shared" si="4"/>
        <v/>
      </c>
      <c r="G192" s="102" t="str">
        <f t="shared" si="5"/>
        <v/>
      </c>
      <c r="H192" s="162"/>
      <c r="I192" s="162"/>
      <c r="J192" s="162"/>
      <c r="K192" s="162"/>
      <c r="L192" s="163"/>
      <c r="M192" s="163"/>
      <c r="N192" s="162"/>
      <c r="O192" s="162"/>
      <c r="P192" s="162"/>
      <c r="Q192" s="162"/>
      <c r="R192" s="162"/>
      <c r="S192" s="162"/>
      <c r="T192" s="162"/>
      <c r="U192" s="162"/>
      <c r="V192" s="162"/>
      <c r="W192" s="162"/>
      <c r="X192" s="162"/>
      <c r="Y192" s="162"/>
      <c r="Z192" s="162"/>
      <c r="AA192" s="162"/>
      <c r="AB192" s="162"/>
      <c r="AC192" s="162"/>
      <c r="AD192" s="162"/>
    </row>
    <row r="193" spans="1:30">
      <c r="A193" s="93"/>
      <c r="B193" s="130"/>
      <c r="C193" s="130"/>
      <c r="D193" s="98"/>
      <c r="E193" s="2" t="str">
        <f t="shared" si="3"/>
        <v/>
      </c>
      <c r="F193" s="89" t="str">
        <f t="shared" si="4"/>
        <v/>
      </c>
      <c r="G193" s="102" t="str">
        <f t="shared" si="5"/>
        <v/>
      </c>
      <c r="H193" s="162"/>
      <c r="I193" s="162"/>
      <c r="J193" s="162"/>
      <c r="K193" s="162"/>
      <c r="L193" s="163"/>
      <c r="M193" s="163"/>
      <c r="N193" s="162"/>
      <c r="O193" s="162"/>
      <c r="P193" s="162"/>
      <c r="Q193" s="162"/>
      <c r="R193" s="162"/>
      <c r="S193" s="162"/>
      <c r="T193" s="162"/>
      <c r="U193" s="162"/>
      <c r="V193" s="162"/>
      <c r="W193" s="162"/>
      <c r="X193" s="162"/>
      <c r="Y193" s="162"/>
      <c r="Z193" s="162"/>
      <c r="AA193" s="162"/>
      <c r="AB193" s="162"/>
      <c r="AC193" s="162"/>
      <c r="AD193" s="162"/>
    </row>
    <row r="194" spans="1:30">
      <c r="A194" s="93"/>
      <c r="B194" s="130"/>
      <c r="C194" s="130"/>
      <c r="D194" s="98"/>
      <c r="E194" s="2" t="str">
        <f t="shared" si="3"/>
        <v/>
      </c>
      <c r="F194" s="89" t="str">
        <f t="shared" si="4"/>
        <v/>
      </c>
      <c r="G194" s="102" t="str">
        <f t="shared" si="5"/>
        <v/>
      </c>
      <c r="H194" s="162"/>
      <c r="I194" s="162"/>
      <c r="J194" s="162"/>
      <c r="K194" s="162"/>
      <c r="L194" s="163"/>
      <c r="M194" s="163"/>
      <c r="N194" s="162"/>
      <c r="O194" s="162"/>
      <c r="P194" s="162"/>
      <c r="Q194" s="162"/>
      <c r="R194" s="162"/>
      <c r="S194" s="162"/>
      <c r="T194" s="162"/>
      <c r="U194" s="162"/>
      <c r="V194" s="162"/>
      <c r="W194" s="162"/>
      <c r="X194" s="162"/>
      <c r="Y194" s="162"/>
      <c r="Z194" s="162"/>
      <c r="AA194" s="162"/>
      <c r="AB194" s="162"/>
      <c r="AC194" s="162"/>
      <c r="AD194" s="162"/>
    </row>
    <row r="195" spans="1:30">
      <c r="A195" s="93"/>
      <c r="B195" s="130"/>
      <c r="C195" s="130"/>
      <c r="D195" s="98"/>
      <c r="E195" s="2" t="str">
        <f t="shared" si="3"/>
        <v/>
      </c>
      <c r="F195" s="89" t="str">
        <f t="shared" si="4"/>
        <v/>
      </c>
      <c r="G195" s="102" t="str">
        <f t="shared" si="5"/>
        <v/>
      </c>
      <c r="H195" s="162"/>
      <c r="I195" s="162"/>
      <c r="J195" s="162"/>
      <c r="K195" s="162"/>
      <c r="L195" s="163"/>
      <c r="M195" s="163"/>
      <c r="N195" s="162"/>
      <c r="O195" s="162"/>
      <c r="P195" s="162"/>
      <c r="Q195" s="162"/>
      <c r="R195" s="162"/>
      <c r="S195" s="162"/>
      <c r="T195" s="162"/>
      <c r="U195" s="162"/>
      <c r="V195" s="162"/>
      <c r="W195" s="162"/>
      <c r="X195" s="162"/>
      <c r="Y195" s="162"/>
      <c r="Z195" s="162"/>
      <c r="AA195" s="162"/>
      <c r="AB195" s="162"/>
      <c r="AC195" s="162"/>
      <c r="AD195" s="162"/>
    </row>
    <row r="196" spans="1:30">
      <c r="A196" s="93"/>
      <c r="B196" s="130"/>
      <c r="C196" s="130"/>
      <c r="D196" s="98"/>
      <c r="E196" s="2" t="str">
        <f t="shared" si="3"/>
        <v/>
      </c>
      <c r="F196" s="89" t="str">
        <f t="shared" si="4"/>
        <v/>
      </c>
      <c r="G196" s="102" t="str">
        <f t="shared" si="5"/>
        <v/>
      </c>
      <c r="H196" s="162"/>
      <c r="I196" s="162"/>
      <c r="J196" s="162"/>
      <c r="K196" s="162"/>
      <c r="L196" s="163"/>
      <c r="M196" s="163"/>
      <c r="N196" s="162"/>
      <c r="O196" s="162"/>
      <c r="P196" s="162"/>
      <c r="Q196" s="162"/>
      <c r="R196" s="162"/>
      <c r="S196" s="162"/>
      <c r="T196" s="162"/>
      <c r="U196" s="162"/>
      <c r="V196" s="162"/>
      <c r="W196" s="162"/>
      <c r="X196" s="162"/>
      <c r="Y196" s="162"/>
      <c r="Z196" s="162"/>
      <c r="AA196" s="162"/>
      <c r="AB196" s="162"/>
      <c r="AC196" s="162"/>
      <c r="AD196" s="162"/>
    </row>
    <row r="197" spans="1:30">
      <c r="A197" s="93"/>
      <c r="B197" s="130"/>
      <c r="C197" s="130"/>
      <c r="D197" s="98"/>
      <c r="E197" s="2" t="str">
        <f t="shared" si="3"/>
        <v/>
      </c>
      <c r="F197" s="89" t="str">
        <f t="shared" si="4"/>
        <v/>
      </c>
      <c r="G197" s="102" t="str">
        <f t="shared" si="5"/>
        <v/>
      </c>
      <c r="H197" s="162"/>
      <c r="I197" s="162"/>
      <c r="J197" s="162"/>
      <c r="K197" s="162"/>
      <c r="L197" s="163"/>
      <c r="M197" s="163"/>
      <c r="N197" s="162"/>
      <c r="O197" s="162"/>
      <c r="P197" s="162"/>
      <c r="Q197" s="162"/>
      <c r="R197" s="162"/>
      <c r="S197" s="162"/>
      <c r="T197" s="162"/>
      <c r="U197" s="162"/>
      <c r="V197" s="162"/>
      <c r="W197" s="162"/>
      <c r="X197" s="162"/>
      <c r="Y197" s="162"/>
      <c r="Z197" s="162"/>
      <c r="AA197" s="162"/>
      <c r="AB197" s="162"/>
      <c r="AC197" s="162"/>
      <c r="AD197" s="162"/>
    </row>
    <row r="198" spans="1:30">
      <c r="A198" s="93"/>
      <c r="B198" s="130"/>
      <c r="C198" s="130"/>
      <c r="D198" s="98"/>
      <c r="E198" s="2" t="str">
        <f t="shared" si="3"/>
        <v/>
      </c>
      <c r="F198" s="89" t="str">
        <f t="shared" si="4"/>
        <v/>
      </c>
      <c r="G198" s="102" t="str">
        <f t="shared" si="5"/>
        <v/>
      </c>
      <c r="H198" s="162"/>
      <c r="I198" s="162"/>
      <c r="J198" s="162"/>
      <c r="K198" s="162"/>
      <c r="L198" s="163"/>
      <c r="M198" s="163"/>
      <c r="N198" s="162"/>
      <c r="O198" s="162"/>
      <c r="P198" s="162"/>
      <c r="Q198" s="162"/>
      <c r="R198" s="162"/>
      <c r="S198" s="162"/>
      <c r="T198" s="162"/>
      <c r="U198" s="162"/>
      <c r="V198" s="162"/>
      <c r="W198" s="162"/>
      <c r="X198" s="162"/>
      <c r="Y198" s="162"/>
      <c r="Z198" s="162"/>
      <c r="AA198" s="162"/>
      <c r="AB198" s="162"/>
      <c r="AC198" s="162"/>
      <c r="AD198" s="162"/>
    </row>
    <row r="199" spans="1:30">
      <c r="A199" s="93"/>
      <c r="B199" s="130"/>
      <c r="C199" s="130"/>
      <c r="D199" s="98"/>
      <c r="E199" s="2" t="str">
        <f t="shared" si="3"/>
        <v/>
      </c>
      <c r="F199" s="89" t="str">
        <f t="shared" si="4"/>
        <v/>
      </c>
      <c r="G199" s="102" t="str">
        <f t="shared" si="5"/>
        <v/>
      </c>
      <c r="H199" s="162"/>
      <c r="I199" s="162"/>
      <c r="J199" s="162"/>
      <c r="K199" s="162"/>
      <c r="L199" s="163"/>
      <c r="M199" s="163"/>
      <c r="N199" s="162"/>
      <c r="O199" s="162"/>
      <c r="P199" s="162"/>
      <c r="Q199" s="162"/>
      <c r="R199" s="162"/>
      <c r="S199" s="162"/>
      <c r="T199" s="162"/>
      <c r="U199" s="162"/>
      <c r="V199" s="162"/>
      <c r="W199" s="162"/>
      <c r="X199" s="162"/>
      <c r="Y199" s="162"/>
      <c r="Z199" s="162"/>
      <c r="AA199" s="162"/>
      <c r="AB199" s="162"/>
      <c r="AC199" s="162"/>
      <c r="AD199" s="162"/>
    </row>
    <row r="200" spans="1:30">
      <c r="A200" s="93"/>
      <c r="B200" s="130"/>
      <c r="C200" s="130"/>
      <c r="D200" s="98"/>
      <c r="E200" s="2" t="str">
        <f t="shared" si="3"/>
        <v/>
      </c>
      <c r="F200" s="89" t="str">
        <f t="shared" si="4"/>
        <v/>
      </c>
      <c r="G200" s="102" t="str">
        <f t="shared" si="5"/>
        <v/>
      </c>
      <c r="H200" s="162"/>
      <c r="I200" s="162"/>
      <c r="J200" s="162"/>
      <c r="K200" s="162"/>
      <c r="L200" s="163"/>
      <c r="M200" s="163"/>
      <c r="N200" s="162"/>
      <c r="O200" s="162"/>
      <c r="P200" s="162"/>
      <c r="Q200" s="162"/>
      <c r="R200" s="162"/>
      <c r="S200" s="162"/>
      <c r="T200" s="162"/>
      <c r="U200" s="162"/>
      <c r="V200" s="162"/>
      <c r="W200" s="162"/>
      <c r="X200" s="162"/>
      <c r="Y200" s="162"/>
      <c r="Z200" s="162"/>
      <c r="AA200" s="162"/>
      <c r="AB200" s="162"/>
      <c r="AC200" s="162"/>
      <c r="AD200" s="162"/>
    </row>
    <row r="201" spans="1:30" ht="13.5" thickBot="1">
      <c r="A201" s="127"/>
      <c r="B201" s="131"/>
      <c r="C201" s="131"/>
      <c r="D201" s="126"/>
      <c r="E201" s="128" t="str">
        <f t="shared" si="3"/>
        <v/>
      </c>
      <c r="F201" s="104" t="str">
        <f t="shared" si="4"/>
        <v/>
      </c>
      <c r="G201" s="106" t="str">
        <f t="shared" si="5"/>
        <v/>
      </c>
      <c r="H201" s="162"/>
      <c r="I201" s="162"/>
      <c r="J201" s="162"/>
      <c r="K201" s="162"/>
      <c r="L201" s="163"/>
      <c r="M201" s="163"/>
      <c r="N201" s="162"/>
      <c r="O201" s="162"/>
      <c r="P201" s="162"/>
      <c r="Q201" s="162"/>
      <c r="R201" s="162"/>
      <c r="S201" s="162"/>
      <c r="T201" s="162"/>
      <c r="U201" s="162"/>
      <c r="V201" s="162"/>
      <c r="W201" s="162"/>
      <c r="X201" s="162"/>
      <c r="Y201" s="162"/>
      <c r="Z201" s="162"/>
      <c r="AA201" s="162"/>
      <c r="AB201" s="162"/>
      <c r="AC201" s="162"/>
      <c r="AD201" s="162"/>
    </row>
    <row r="202" spans="1:30" ht="13.5" thickBot="1">
      <c r="A202" s="118" t="s">
        <v>570</v>
      </c>
      <c r="B202" s="38"/>
      <c r="C202" s="38"/>
      <c r="D202" s="133"/>
      <c r="E202" s="39">
        <f>SUM(E154:E201)</f>
        <v>0</v>
      </c>
      <c r="F202" s="105">
        <f>SUM(F154:F201)</f>
        <v>0</v>
      </c>
      <c r="G202" s="100">
        <f>SUM(G154:G201)</f>
        <v>0</v>
      </c>
      <c r="H202" s="162"/>
      <c r="I202" s="162"/>
      <c r="J202" s="162"/>
      <c r="K202" s="162"/>
      <c r="L202" s="163"/>
      <c r="M202" s="163"/>
      <c r="N202" s="162"/>
      <c r="O202" s="162"/>
      <c r="P202" s="162"/>
      <c r="Q202" s="162"/>
      <c r="R202" s="162"/>
      <c r="S202" s="162"/>
      <c r="T202" s="162"/>
      <c r="U202" s="162"/>
      <c r="V202" s="162"/>
      <c r="W202" s="162"/>
      <c r="X202" s="162"/>
      <c r="Y202" s="162"/>
      <c r="Z202" s="162"/>
      <c r="AA202" s="162"/>
      <c r="AB202" s="162"/>
      <c r="AC202" s="162"/>
      <c r="AD202" s="162"/>
    </row>
    <row r="203" spans="1:30">
      <c r="A203" s="4"/>
      <c r="B203" s="4"/>
      <c r="C203" s="4"/>
      <c r="D203" s="4"/>
      <c r="E203" s="4"/>
      <c r="F203" s="4"/>
      <c r="G203" s="4"/>
      <c r="H203" s="162"/>
      <c r="I203" s="162"/>
      <c r="J203" s="162"/>
      <c r="K203" s="162"/>
      <c r="L203" s="163"/>
      <c r="M203" s="163"/>
      <c r="N203" s="162"/>
      <c r="O203" s="162"/>
      <c r="P203" s="162"/>
      <c r="Q203" s="162"/>
      <c r="R203" s="162"/>
      <c r="S203" s="162"/>
      <c r="T203" s="162"/>
      <c r="U203" s="162"/>
      <c r="V203" s="162"/>
      <c r="W203" s="162"/>
      <c r="X203" s="162"/>
      <c r="Y203" s="162"/>
      <c r="Z203" s="162"/>
      <c r="AA203" s="162"/>
      <c r="AB203" s="162"/>
      <c r="AC203" s="162"/>
      <c r="AD203" s="162"/>
    </row>
    <row r="204" spans="1:30" ht="15" thickBot="1">
      <c r="A204" s="7" t="s">
        <v>403</v>
      </c>
      <c r="B204" s="4"/>
      <c r="C204" s="4"/>
      <c r="D204" s="4"/>
      <c r="E204" s="4"/>
      <c r="F204" s="4"/>
      <c r="G204" s="4"/>
      <c r="H204" s="162"/>
      <c r="I204" s="162"/>
      <c r="J204" s="162"/>
      <c r="K204" s="162"/>
      <c r="L204" s="163"/>
      <c r="M204" s="163"/>
      <c r="N204" s="162"/>
      <c r="O204" s="162"/>
      <c r="P204" s="162"/>
      <c r="Q204" s="162"/>
      <c r="R204" s="162"/>
      <c r="S204" s="162"/>
      <c r="T204" s="162"/>
      <c r="U204" s="162"/>
      <c r="V204" s="162"/>
      <c r="W204" s="162"/>
      <c r="X204" s="162"/>
      <c r="Y204" s="162"/>
      <c r="Z204" s="162"/>
      <c r="AA204" s="162"/>
      <c r="AB204" s="162"/>
      <c r="AC204" s="162"/>
      <c r="AD204" s="162"/>
    </row>
    <row r="205" spans="1:30" ht="40.5" thickBot="1">
      <c r="A205" s="687" t="s">
        <v>284</v>
      </c>
      <c r="B205" s="688" t="s">
        <v>0</v>
      </c>
      <c r="C205" s="688" t="s">
        <v>302</v>
      </c>
      <c r="D205" s="663" t="s">
        <v>298</v>
      </c>
      <c r="E205" s="193" t="s">
        <v>285</v>
      </c>
      <c r="F205" s="193" t="s">
        <v>299</v>
      </c>
      <c r="G205" s="194" t="s">
        <v>300</v>
      </c>
      <c r="H205" s="162"/>
      <c r="I205" s="162"/>
      <c r="J205" s="162"/>
      <c r="K205" s="163"/>
      <c r="L205" s="163"/>
      <c r="M205" s="162"/>
      <c r="N205" s="162"/>
      <c r="O205" s="162"/>
      <c r="P205" s="162"/>
      <c r="Q205" s="162"/>
      <c r="R205" s="162"/>
      <c r="S205" s="162"/>
      <c r="T205" s="162"/>
      <c r="U205" s="162"/>
      <c r="V205" s="162"/>
      <c r="W205" s="162"/>
      <c r="X205" s="162"/>
      <c r="Y205" s="162"/>
      <c r="Z205" s="162"/>
      <c r="AA205" s="162"/>
      <c r="AB205" s="162"/>
      <c r="AC205" s="162"/>
      <c r="AD205" s="162"/>
    </row>
    <row r="206" spans="1:30">
      <c r="A206" s="448" t="s">
        <v>7</v>
      </c>
      <c r="B206" s="466" t="s">
        <v>8</v>
      </c>
      <c r="C206" s="467" t="s">
        <v>282</v>
      </c>
      <c r="D206" s="468">
        <v>1000</v>
      </c>
      <c r="E206" s="450">
        <v>229</v>
      </c>
      <c r="F206" s="464">
        <v>10.4</v>
      </c>
      <c r="G206" s="465">
        <v>8.5</v>
      </c>
      <c r="H206" s="162"/>
      <c r="I206" s="162"/>
      <c r="J206" s="162"/>
      <c r="K206" s="163"/>
      <c r="L206" s="163"/>
      <c r="M206" s="162"/>
      <c r="N206" s="162"/>
      <c r="O206" s="162"/>
      <c r="P206" s="162"/>
      <c r="Q206" s="162"/>
      <c r="R206" s="162"/>
      <c r="S206" s="162"/>
      <c r="T206" s="162"/>
      <c r="U206" s="162"/>
      <c r="V206" s="162"/>
      <c r="W206" s="162"/>
      <c r="X206" s="162"/>
      <c r="Y206" s="162"/>
      <c r="Z206" s="162"/>
      <c r="AA206" s="162"/>
      <c r="AB206" s="162"/>
      <c r="AC206" s="162"/>
      <c r="AD206" s="162"/>
    </row>
    <row r="207" spans="1:30" ht="25.5">
      <c r="A207" s="168"/>
      <c r="B207" s="1108" t="s">
        <v>1617</v>
      </c>
      <c r="C207" s="1110" t="s">
        <v>1323</v>
      </c>
      <c r="D207" s="75">
        <v>4000</v>
      </c>
      <c r="E207" s="401">
        <f>IF($C207="","",VLOOKUP($C207,Biz_Travel_Fctr,2,FALSE)*$D207)</f>
        <v>652</v>
      </c>
      <c r="F207" s="164">
        <f t="shared" ref="F207:F246" si="6">IF($C207="","",VLOOKUP($C207,Biz_Travel_Fctr,3,FALSE)*$D207)</f>
        <v>2.4</v>
      </c>
      <c r="G207" s="172">
        <f t="shared" ref="G207:G246" si="7">IF($C207="","",VLOOKUP($C207,Biz_Travel_Fctr,4,FALSE)*$D207)</f>
        <v>20.8</v>
      </c>
      <c r="H207" s="162"/>
      <c r="I207" s="162"/>
      <c r="J207" s="162"/>
      <c r="K207" s="163"/>
      <c r="L207" s="163"/>
      <c r="M207" s="162"/>
      <c r="N207" s="162"/>
      <c r="O207" s="162"/>
      <c r="P207" s="162"/>
      <c r="Q207" s="162"/>
      <c r="R207" s="162"/>
      <c r="S207" s="162"/>
      <c r="T207" s="162"/>
      <c r="U207" s="162"/>
      <c r="V207" s="162"/>
      <c r="W207" s="162"/>
      <c r="X207" s="162"/>
      <c r="Y207" s="162"/>
      <c r="Z207" s="162"/>
      <c r="AA207" s="162"/>
      <c r="AB207" s="162"/>
      <c r="AC207" s="162"/>
      <c r="AD207" s="162"/>
    </row>
    <row r="208" spans="1:30">
      <c r="A208" s="93"/>
      <c r="B208" s="1109" t="s">
        <v>1618</v>
      </c>
      <c r="C208" s="1110" t="s">
        <v>1323</v>
      </c>
      <c r="D208" s="75">
        <v>3200</v>
      </c>
      <c r="E208" s="2">
        <f t="shared" ref="E208:E246" si="8">IF($C208="","",VLOOKUP($C208,Biz_Travel_Fctr,2,FALSE)*$D208)</f>
        <v>521.6</v>
      </c>
      <c r="F208" s="155">
        <f t="shared" si="6"/>
        <v>1.92</v>
      </c>
      <c r="G208" s="99">
        <f t="shared" si="7"/>
        <v>16.64</v>
      </c>
      <c r="H208" s="162"/>
      <c r="I208" s="162"/>
      <c r="J208" s="162"/>
      <c r="K208" s="163"/>
      <c r="L208" s="163"/>
      <c r="M208" s="162"/>
      <c r="N208" s="162"/>
      <c r="O208" s="162"/>
      <c r="P208" s="162"/>
      <c r="Q208" s="162"/>
      <c r="R208" s="162"/>
      <c r="S208" s="162"/>
      <c r="T208" s="162"/>
      <c r="U208" s="162"/>
      <c r="V208" s="162"/>
      <c r="W208" s="162"/>
      <c r="X208" s="162"/>
      <c r="Y208" s="162"/>
      <c r="Z208" s="162"/>
      <c r="AA208" s="162"/>
      <c r="AB208" s="162"/>
      <c r="AC208" s="162"/>
      <c r="AD208" s="162"/>
    </row>
    <row r="209" spans="1:30" ht="25.5">
      <c r="A209" s="93"/>
      <c r="B209" s="1109" t="s">
        <v>1619</v>
      </c>
      <c r="C209" s="1110" t="s">
        <v>1323</v>
      </c>
      <c r="D209" s="75">
        <v>3200</v>
      </c>
      <c r="E209" s="2">
        <f t="shared" si="8"/>
        <v>521.6</v>
      </c>
      <c r="F209" s="155">
        <f t="shared" si="6"/>
        <v>1.92</v>
      </c>
      <c r="G209" s="99">
        <f t="shared" si="7"/>
        <v>16.64</v>
      </c>
      <c r="H209" s="162"/>
      <c r="I209" s="162"/>
      <c r="J209" s="162"/>
      <c r="K209" s="163"/>
      <c r="L209" s="163"/>
      <c r="M209" s="162"/>
      <c r="N209" s="162"/>
      <c r="O209" s="162"/>
      <c r="P209" s="162"/>
      <c r="Q209" s="162"/>
      <c r="R209" s="162"/>
      <c r="S209" s="162"/>
      <c r="T209" s="162"/>
      <c r="U209" s="162"/>
      <c r="V209" s="162"/>
      <c r="W209" s="162"/>
      <c r="X209" s="162"/>
      <c r="Y209" s="162"/>
      <c r="Z209" s="162"/>
      <c r="AA209" s="162"/>
      <c r="AB209" s="162"/>
      <c r="AC209" s="162"/>
      <c r="AD209" s="162"/>
    </row>
    <row r="210" spans="1:30" ht="25.5">
      <c r="A210" s="93"/>
      <c r="B210" s="1109" t="s">
        <v>1620</v>
      </c>
      <c r="C210" s="1110" t="s">
        <v>1323</v>
      </c>
      <c r="D210" s="75">
        <v>3200</v>
      </c>
      <c r="E210" s="2">
        <f>IF($C210="","",VLOOKUP($C210,Biz_Travel_Fctr,2,FALSE)*$D210)</f>
        <v>521.6</v>
      </c>
      <c r="F210" s="155">
        <f t="shared" si="6"/>
        <v>1.92</v>
      </c>
      <c r="G210" s="99">
        <f t="shared" si="7"/>
        <v>16.64</v>
      </c>
      <c r="H210" s="162"/>
      <c r="I210" s="162"/>
      <c r="J210" s="162"/>
      <c r="K210" s="163"/>
      <c r="L210" s="163"/>
      <c r="M210" s="162"/>
      <c r="N210" s="162"/>
      <c r="O210" s="162"/>
      <c r="P210" s="162"/>
      <c r="Q210" s="162"/>
      <c r="R210" s="162"/>
      <c r="S210" s="162"/>
      <c r="T210" s="162"/>
      <c r="U210" s="162"/>
      <c r="V210" s="162"/>
      <c r="W210" s="162"/>
      <c r="X210" s="162"/>
      <c r="Y210" s="162"/>
      <c r="Z210" s="162"/>
      <c r="AA210" s="162"/>
      <c r="AB210" s="162"/>
      <c r="AC210" s="162"/>
      <c r="AD210" s="162"/>
    </row>
    <row r="211" spans="1:30" ht="25.5">
      <c r="A211" s="93"/>
      <c r="B211" s="1109" t="s">
        <v>1621</v>
      </c>
      <c r="C211" s="1110" t="s">
        <v>1323</v>
      </c>
      <c r="D211" s="75">
        <v>3200</v>
      </c>
      <c r="E211" s="2">
        <f>IF($C211="","",VLOOKUP($C211,Biz_Travel_Fctr,2,FALSE)*$D211)</f>
        <v>521.6</v>
      </c>
      <c r="F211" s="155">
        <f t="shared" si="6"/>
        <v>1.92</v>
      </c>
      <c r="G211" s="99">
        <f t="shared" si="7"/>
        <v>16.64</v>
      </c>
      <c r="H211" s="162"/>
      <c r="I211" s="162"/>
      <c r="J211" s="162"/>
      <c r="K211" s="163"/>
      <c r="L211" s="163"/>
      <c r="M211" s="162"/>
      <c r="N211" s="162"/>
      <c r="O211" s="162"/>
      <c r="P211" s="162"/>
      <c r="Q211" s="162"/>
      <c r="R211" s="162"/>
      <c r="S211" s="162"/>
      <c r="T211" s="162"/>
      <c r="U211" s="162"/>
      <c r="V211" s="162"/>
      <c r="W211" s="162"/>
      <c r="X211" s="162"/>
      <c r="Y211" s="162"/>
      <c r="Z211" s="162"/>
      <c r="AA211" s="162"/>
      <c r="AB211" s="162"/>
      <c r="AC211" s="162"/>
      <c r="AD211" s="162"/>
    </row>
    <row r="212" spans="1:30" ht="25.5">
      <c r="A212" s="93"/>
      <c r="B212" s="1109" t="s">
        <v>1622</v>
      </c>
      <c r="C212" s="1110" t="s">
        <v>1323</v>
      </c>
      <c r="D212" s="75">
        <v>3200</v>
      </c>
      <c r="E212" s="2">
        <f t="shared" si="8"/>
        <v>521.6</v>
      </c>
      <c r="F212" s="155">
        <f t="shared" si="6"/>
        <v>1.92</v>
      </c>
      <c r="G212" s="99">
        <f t="shared" si="7"/>
        <v>16.64</v>
      </c>
      <c r="H212" s="162"/>
      <c r="I212" s="162"/>
      <c r="J212" s="162"/>
      <c r="K212" s="163"/>
      <c r="L212" s="163"/>
      <c r="M212" s="162"/>
      <c r="N212" s="162"/>
      <c r="O212" s="162"/>
      <c r="P212" s="162"/>
      <c r="Q212" s="162"/>
      <c r="R212" s="162"/>
      <c r="S212" s="162"/>
      <c r="T212" s="162"/>
      <c r="U212" s="162"/>
      <c r="V212" s="162"/>
      <c r="W212" s="162"/>
      <c r="X212" s="162"/>
      <c r="Y212" s="162"/>
      <c r="Z212" s="162"/>
      <c r="AA212" s="162"/>
      <c r="AB212" s="162"/>
      <c r="AC212" s="162"/>
      <c r="AD212" s="162"/>
    </row>
    <row r="213" spans="1:30" ht="25.5">
      <c r="A213" s="93"/>
      <c r="B213" s="1109" t="s">
        <v>1623</v>
      </c>
      <c r="C213" s="1110" t="s">
        <v>1323</v>
      </c>
      <c r="D213" s="75">
        <v>3200</v>
      </c>
      <c r="E213" s="2">
        <f t="shared" si="8"/>
        <v>521.6</v>
      </c>
      <c r="F213" s="155">
        <f t="shared" si="6"/>
        <v>1.92</v>
      </c>
      <c r="G213" s="99">
        <f t="shared" si="7"/>
        <v>16.64</v>
      </c>
      <c r="H213" s="162"/>
      <c r="I213" s="162"/>
      <c r="J213" s="162"/>
      <c r="K213" s="163"/>
      <c r="L213" s="163"/>
      <c r="M213" s="162"/>
      <c r="N213" s="162"/>
      <c r="O213" s="162"/>
      <c r="P213" s="162"/>
      <c r="Q213" s="162"/>
      <c r="R213" s="162"/>
      <c r="S213" s="162"/>
      <c r="T213" s="162"/>
      <c r="U213" s="162"/>
      <c r="V213" s="162"/>
      <c r="W213" s="162"/>
      <c r="X213" s="162"/>
      <c r="Y213" s="162"/>
      <c r="Z213" s="162"/>
      <c r="AA213" s="162"/>
      <c r="AB213" s="162"/>
      <c r="AC213" s="162"/>
      <c r="AD213" s="162"/>
    </row>
    <row r="214" spans="1:30" ht="25.5">
      <c r="A214" s="93"/>
      <c r="B214" s="1109" t="s">
        <v>1624</v>
      </c>
      <c r="C214" s="1110" t="s">
        <v>1323</v>
      </c>
      <c r="D214" s="75">
        <v>3200</v>
      </c>
      <c r="E214" s="2">
        <f t="shared" si="8"/>
        <v>521.6</v>
      </c>
      <c r="F214" s="155">
        <f t="shared" si="6"/>
        <v>1.92</v>
      </c>
      <c r="G214" s="99">
        <f t="shared" si="7"/>
        <v>16.64</v>
      </c>
      <c r="H214" s="162"/>
      <c r="I214" s="162"/>
      <c r="J214" s="162"/>
      <c r="K214" s="163"/>
      <c r="L214" s="163"/>
      <c r="M214" s="162"/>
      <c r="N214" s="162"/>
      <c r="O214" s="162"/>
      <c r="P214" s="162"/>
      <c r="Q214" s="162"/>
      <c r="R214" s="162"/>
      <c r="S214" s="162"/>
      <c r="T214" s="162"/>
      <c r="U214" s="162"/>
      <c r="V214" s="162"/>
      <c r="W214" s="162"/>
      <c r="X214" s="162"/>
      <c r="Y214" s="162"/>
      <c r="Z214" s="162"/>
      <c r="AA214" s="162"/>
      <c r="AB214" s="162"/>
      <c r="AC214" s="162"/>
      <c r="AD214" s="162"/>
    </row>
    <row r="215" spans="1:30" ht="25.5">
      <c r="A215" s="93"/>
      <c r="B215" s="1109" t="s">
        <v>1625</v>
      </c>
      <c r="C215" s="1110" t="s">
        <v>1323</v>
      </c>
      <c r="D215" s="153">
        <v>4000</v>
      </c>
      <c r="E215" s="2">
        <f t="shared" si="8"/>
        <v>652</v>
      </c>
      <c r="F215" s="155">
        <f t="shared" si="6"/>
        <v>2.4</v>
      </c>
      <c r="G215" s="99">
        <f t="shared" si="7"/>
        <v>20.8</v>
      </c>
      <c r="H215" s="162"/>
      <c r="I215" s="162"/>
      <c r="J215" s="162"/>
      <c r="K215" s="163"/>
      <c r="L215" s="163"/>
      <c r="M215" s="162"/>
      <c r="N215" s="162"/>
      <c r="O215" s="162"/>
      <c r="P215" s="162"/>
      <c r="Q215" s="162"/>
      <c r="R215" s="162"/>
      <c r="S215" s="162"/>
      <c r="T215" s="162"/>
      <c r="U215" s="162"/>
      <c r="V215" s="162"/>
      <c r="W215" s="162"/>
      <c r="X215" s="162"/>
      <c r="Y215" s="162"/>
      <c r="Z215" s="162"/>
      <c r="AA215" s="162"/>
      <c r="AB215" s="162"/>
      <c r="AC215" s="162"/>
      <c r="AD215" s="162"/>
    </row>
    <row r="216" spans="1:30" ht="25.5">
      <c r="A216" s="93"/>
      <c r="B216" s="1109" t="s">
        <v>1626</v>
      </c>
      <c r="C216" s="1110" t="s">
        <v>1323</v>
      </c>
      <c r="D216" s="153">
        <v>4000</v>
      </c>
      <c r="E216" s="2">
        <f t="shared" si="8"/>
        <v>652</v>
      </c>
      <c r="F216" s="155">
        <f t="shared" si="6"/>
        <v>2.4</v>
      </c>
      <c r="G216" s="99">
        <f t="shared" si="7"/>
        <v>20.8</v>
      </c>
      <c r="H216" s="162"/>
      <c r="I216" s="162"/>
      <c r="J216" s="162"/>
      <c r="K216" s="163"/>
      <c r="L216" s="163"/>
      <c r="M216" s="162"/>
      <c r="N216" s="162"/>
      <c r="O216" s="162"/>
      <c r="P216" s="162"/>
      <c r="Q216" s="162"/>
      <c r="R216" s="162"/>
      <c r="S216" s="162"/>
      <c r="T216" s="162"/>
      <c r="U216" s="162"/>
      <c r="V216" s="162"/>
      <c r="W216" s="162"/>
      <c r="X216" s="162"/>
      <c r="Y216" s="162"/>
      <c r="Z216" s="162"/>
      <c r="AA216" s="162"/>
      <c r="AB216" s="162"/>
      <c r="AC216" s="162"/>
      <c r="AD216" s="162"/>
    </row>
    <row r="217" spans="1:30" ht="25.5">
      <c r="A217" s="93"/>
      <c r="B217" s="1109" t="s">
        <v>1627</v>
      </c>
      <c r="C217" s="1110" t="s">
        <v>1323</v>
      </c>
      <c r="D217" s="153">
        <v>4000</v>
      </c>
      <c r="E217" s="2">
        <f t="shared" si="8"/>
        <v>652</v>
      </c>
      <c r="F217" s="155">
        <f t="shared" si="6"/>
        <v>2.4</v>
      </c>
      <c r="G217" s="99">
        <f t="shared" si="7"/>
        <v>20.8</v>
      </c>
      <c r="H217" s="162"/>
      <c r="I217" s="162"/>
      <c r="J217" s="162"/>
      <c r="K217" s="163"/>
      <c r="L217" s="163"/>
      <c r="M217" s="162"/>
      <c r="N217" s="162"/>
      <c r="O217" s="162"/>
      <c r="P217" s="162"/>
      <c r="Q217" s="162"/>
      <c r="R217" s="162"/>
      <c r="S217" s="162"/>
      <c r="T217" s="162"/>
      <c r="U217" s="162"/>
      <c r="V217" s="162"/>
      <c r="W217" s="162"/>
      <c r="X217" s="162"/>
      <c r="Y217" s="162"/>
      <c r="Z217" s="162"/>
      <c r="AA217" s="162"/>
      <c r="AB217" s="162"/>
      <c r="AC217" s="162"/>
      <c r="AD217" s="162"/>
    </row>
    <row r="218" spans="1:30" ht="25.5">
      <c r="A218" s="93"/>
      <c r="B218" s="1109" t="s">
        <v>1628</v>
      </c>
      <c r="C218" s="1110" t="s">
        <v>1323</v>
      </c>
      <c r="D218" s="153">
        <v>4000</v>
      </c>
      <c r="E218" s="2">
        <f t="shared" si="8"/>
        <v>652</v>
      </c>
      <c r="F218" s="155">
        <f t="shared" si="6"/>
        <v>2.4</v>
      </c>
      <c r="G218" s="99">
        <f t="shared" si="7"/>
        <v>20.8</v>
      </c>
      <c r="H218" s="162"/>
      <c r="I218" s="162"/>
      <c r="J218" s="162"/>
      <c r="K218" s="163"/>
      <c r="L218" s="163"/>
      <c r="M218" s="162"/>
      <c r="N218" s="162"/>
      <c r="O218" s="162"/>
      <c r="P218" s="162"/>
      <c r="Q218" s="162"/>
      <c r="R218" s="162"/>
      <c r="S218" s="162"/>
      <c r="T218" s="162"/>
      <c r="U218" s="162"/>
      <c r="V218" s="162"/>
      <c r="W218" s="162"/>
      <c r="X218" s="162"/>
      <c r="Y218" s="162"/>
      <c r="Z218" s="162"/>
      <c r="AA218" s="162"/>
      <c r="AB218" s="162"/>
      <c r="AC218" s="162"/>
      <c r="AD218" s="162"/>
    </row>
    <row r="219" spans="1:30" ht="25.5">
      <c r="A219" s="93"/>
      <c r="B219" s="1109" t="s">
        <v>1629</v>
      </c>
      <c r="C219" s="1110" t="s">
        <v>1323</v>
      </c>
      <c r="D219" s="153">
        <v>4000</v>
      </c>
      <c r="E219" s="2">
        <f t="shared" si="8"/>
        <v>652</v>
      </c>
      <c r="F219" s="155">
        <f t="shared" si="6"/>
        <v>2.4</v>
      </c>
      <c r="G219" s="99">
        <f t="shared" si="7"/>
        <v>20.8</v>
      </c>
      <c r="H219" s="162"/>
      <c r="I219" s="162"/>
      <c r="J219" s="162"/>
      <c r="K219" s="163"/>
      <c r="L219" s="163"/>
      <c r="M219" s="162"/>
      <c r="N219" s="162"/>
      <c r="O219" s="162"/>
      <c r="P219" s="162"/>
      <c r="Q219" s="162"/>
      <c r="R219" s="162"/>
      <c r="S219" s="162"/>
      <c r="T219" s="162"/>
      <c r="U219" s="162"/>
      <c r="V219" s="162"/>
      <c r="W219" s="162"/>
      <c r="X219" s="162"/>
      <c r="Y219" s="162"/>
      <c r="Z219" s="162"/>
      <c r="AA219" s="162"/>
      <c r="AB219" s="162"/>
      <c r="AC219" s="162"/>
      <c r="AD219" s="162"/>
    </row>
    <row r="220" spans="1:30" ht="25.5">
      <c r="A220" s="93"/>
      <c r="B220" s="1109" t="s">
        <v>1630</v>
      </c>
      <c r="C220" s="1110" t="s">
        <v>1323</v>
      </c>
      <c r="D220" s="153">
        <v>4000</v>
      </c>
      <c r="E220" s="2">
        <f t="shared" si="8"/>
        <v>652</v>
      </c>
      <c r="F220" s="155">
        <f t="shared" si="6"/>
        <v>2.4</v>
      </c>
      <c r="G220" s="99">
        <f t="shared" si="7"/>
        <v>20.8</v>
      </c>
      <c r="H220" s="162"/>
      <c r="I220" s="162"/>
      <c r="J220" s="162"/>
      <c r="K220" s="163"/>
      <c r="L220" s="163"/>
      <c r="M220" s="162"/>
      <c r="N220" s="162"/>
      <c r="O220" s="162"/>
      <c r="P220" s="162"/>
      <c r="Q220" s="162"/>
      <c r="R220" s="162"/>
      <c r="S220" s="162"/>
      <c r="T220" s="162"/>
      <c r="U220" s="162"/>
      <c r="V220" s="162"/>
      <c r="W220" s="162"/>
      <c r="X220" s="162"/>
      <c r="Y220" s="162"/>
      <c r="Z220" s="162"/>
      <c r="AA220" s="162"/>
      <c r="AB220" s="162"/>
      <c r="AC220" s="162"/>
      <c r="AD220" s="162"/>
    </row>
    <row r="221" spans="1:30" ht="25.5">
      <c r="A221" s="93"/>
      <c r="B221" s="1109" t="s">
        <v>1631</v>
      </c>
      <c r="C221" s="1110" t="s">
        <v>1323</v>
      </c>
      <c r="D221" s="153">
        <v>4000</v>
      </c>
      <c r="E221" s="2">
        <f t="shared" si="8"/>
        <v>652</v>
      </c>
      <c r="F221" s="155">
        <f t="shared" si="6"/>
        <v>2.4</v>
      </c>
      <c r="G221" s="99">
        <f t="shared" si="7"/>
        <v>20.8</v>
      </c>
      <c r="H221" s="162"/>
      <c r="I221" s="162"/>
      <c r="J221" s="162"/>
      <c r="K221" s="163"/>
      <c r="L221" s="163"/>
      <c r="M221" s="162"/>
      <c r="N221" s="162"/>
      <c r="O221" s="162"/>
      <c r="P221" s="162"/>
      <c r="Q221" s="162"/>
      <c r="R221" s="162"/>
      <c r="S221" s="162"/>
      <c r="T221" s="162"/>
      <c r="U221" s="162"/>
      <c r="V221" s="162"/>
      <c r="W221" s="162"/>
      <c r="X221" s="162"/>
      <c r="Y221" s="162"/>
      <c r="Z221" s="162"/>
      <c r="AA221" s="162"/>
      <c r="AB221" s="162"/>
      <c r="AC221" s="162"/>
      <c r="AD221" s="162"/>
    </row>
    <row r="222" spans="1:30" ht="25.5">
      <c r="A222" s="93"/>
      <c r="B222" s="1109" t="s">
        <v>1625</v>
      </c>
      <c r="C222" s="1110" t="s">
        <v>1323</v>
      </c>
      <c r="D222" s="153">
        <v>4000</v>
      </c>
      <c r="E222" s="2">
        <f t="shared" si="8"/>
        <v>652</v>
      </c>
      <c r="F222" s="155">
        <f t="shared" si="6"/>
        <v>2.4</v>
      </c>
      <c r="G222" s="99">
        <f t="shared" si="7"/>
        <v>20.8</v>
      </c>
      <c r="H222" s="162"/>
      <c r="I222" s="162"/>
      <c r="J222" s="162"/>
      <c r="K222" s="163"/>
      <c r="L222" s="163"/>
      <c r="M222" s="162"/>
      <c r="N222" s="162"/>
      <c r="O222" s="162"/>
      <c r="P222" s="162"/>
      <c r="Q222" s="162"/>
      <c r="R222" s="162"/>
      <c r="S222" s="162"/>
      <c r="T222" s="162"/>
      <c r="U222" s="162"/>
      <c r="V222" s="162"/>
      <c r="W222" s="162"/>
      <c r="X222" s="162"/>
      <c r="Y222" s="162"/>
      <c r="Z222" s="162"/>
      <c r="AA222" s="162"/>
      <c r="AB222" s="162"/>
      <c r="AC222" s="162"/>
      <c r="AD222" s="162"/>
    </row>
    <row r="223" spans="1:30" ht="25.5">
      <c r="A223" s="93"/>
      <c r="B223" s="1109" t="s">
        <v>1632</v>
      </c>
      <c r="C223" s="1110" t="s">
        <v>1323</v>
      </c>
      <c r="D223" s="153">
        <v>3800</v>
      </c>
      <c r="E223" s="2">
        <f t="shared" si="8"/>
        <v>619.4</v>
      </c>
      <c r="F223" s="155">
        <f t="shared" si="6"/>
        <v>2.2799999999999998</v>
      </c>
      <c r="G223" s="99">
        <f t="shared" si="7"/>
        <v>19.759999999999998</v>
      </c>
      <c r="H223" s="162"/>
      <c r="I223" s="162"/>
      <c r="J223" s="162"/>
      <c r="K223" s="163"/>
      <c r="L223" s="163"/>
      <c r="M223" s="162"/>
      <c r="N223" s="162"/>
      <c r="O223" s="162"/>
      <c r="P223" s="162"/>
      <c r="Q223" s="162"/>
      <c r="R223" s="162"/>
      <c r="S223" s="162"/>
      <c r="T223" s="162"/>
      <c r="U223" s="162"/>
      <c r="V223" s="162"/>
      <c r="W223" s="162"/>
      <c r="X223" s="162"/>
      <c r="Y223" s="162"/>
      <c r="Z223" s="162"/>
      <c r="AA223" s="162"/>
      <c r="AB223" s="162"/>
      <c r="AC223" s="162"/>
      <c r="AD223" s="162"/>
    </row>
    <row r="224" spans="1:30" ht="25.5">
      <c r="A224" s="93"/>
      <c r="B224" s="1109" t="s">
        <v>1633</v>
      </c>
      <c r="C224" s="1110" t="s">
        <v>1323</v>
      </c>
      <c r="D224" s="153">
        <v>6000</v>
      </c>
      <c r="E224" s="2">
        <f t="shared" si="8"/>
        <v>978</v>
      </c>
      <c r="F224" s="155">
        <f t="shared" si="6"/>
        <v>3.5999999999999996</v>
      </c>
      <c r="G224" s="99">
        <f t="shared" si="7"/>
        <v>31.2</v>
      </c>
      <c r="H224" s="162"/>
      <c r="I224" s="162"/>
      <c r="J224" s="162"/>
      <c r="K224" s="163"/>
      <c r="L224" s="163"/>
      <c r="M224" s="162"/>
      <c r="N224" s="162"/>
      <c r="O224" s="162"/>
      <c r="P224" s="162"/>
      <c r="Q224" s="162"/>
      <c r="R224" s="162"/>
      <c r="S224" s="162"/>
      <c r="T224" s="162"/>
      <c r="U224" s="162"/>
      <c r="V224" s="162"/>
      <c r="W224" s="162"/>
      <c r="X224" s="162"/>
      <c r="Y224" s="162"/>
      <c r="Z224" s="162"/>
      <c r="AA224" s="162"/>
      <c r="AB224" s="162"/>
      <c r="AC224" s="162"/>
      <c r="AD224" s="162"/>
    </row>
    <row r="225" spans="1:30" ht="25.5">
      <c r="A225" s="93"/>
      <c r="B225" s="1109" t="s">
        <v>1634</v>
      </c>
      <c r="C225" s="1110" t="s">
        <v>1323</v>
      </c>
      <c r="D225" s="153">
        <v>6000</v>
      </c>
      <c r="E225" s="2">
        <f t="shared" si="8"/>
        <v>978</v>
      </c>
      <c r="F225" s="155">
        <f t="shared" si="6"/>
        <v>3.5999999999999996</v>
      </c>
      <c r="G225" s="99">
        <f t="shared" si="7"/>
        <v>31.2</v>
      </c>
      <c r="H225" s="162"/>
      <c r="I225" s="162"/>
      <c r="J225" s="162"/>
      <c r="K225" s="163"/>
      <c r="L225" s="163"/>
      <c r="M225" s="162"/>
      <c r="N225" s="162"/>
      <c r="O225" s="162"/>
      <c r="P225" s="162"/>
      <c r="Q225" s="162"/>
      <c r="R225" s="162"/>
      <c r="S225" s="162"/>
      <c r="T225" s="162"/>
      <c r="U225" s="162"/>
      <c r="V225" s="162"/>
      <c r="W225" s="162"/>
      <c r="X225" s="162"/>
      <c r="Y225" s="162"/>
      <c r="Z225" s="162"/>
      <c r="AA225" s="162"/>
      <c r="AB225" s="162"/>
      <c r="AC225" s="162"/>
      <c r="AD225" s="162"/>
    </row>
    <row r="226" spans="1:30" ht="25.5">
      <c r="A226" s="93"/>
      <c r="B226" s="1109" t="s">
        <v>1635</v>
      </c>
      <c r="C226" s="1110" t="s">
        <v>1323</v>
      </c>
      <c r="D226" s="153">
        <v>6000</v>
      </c>
      <c r="E226" s="2">
        <f t="shared" si="8"/>
        <v>978</v>
      </c>
      <c r="F226" s="155">
        <f t="shared" si="6"/>
        <v>3.5999999999999996</v>
      </c>
      <c r="G226" s="99">
        <f t="shared" si="7"/>
        <v>31.2</v>
      </c>
      <c r="H226" s="162"/>
      <c r="I226" s="162"/>
      <c r="J226" s="162"/>
      <c r="K226" s="163"/>
      <c r="L226" s="163"/>
      <c r="M226" s="162"/>
      <c r="N226" s="162"/>
      <c r="O226" s="162"/>
      <c r="P226" s="162"/>
      <c r="Q226" s="162"/>
      <c r="R226" s="162"/>
      <c r="S226" s="162"/>
      <c r="T226" s="162"/>
      <c r="U226" s="162"/>
      <c r="V226" s="162"/>
      <c r="W226" s="162"/>
      <c r="X226" s="162"/>
      <c r="Y226" s="162"/>
      <c r="Z226" s="162"/>
      <c r="AA226" s="162"/>
      <c r="AB226" s="162"/>
      <c r="AC226" s="162"/>
      <c r="AD226" s="162"/>
    </row>
    <row r="227" spans="1:30" ht="25.5">
      <c r="A227" s="93"/>
      <c r="B227" s="1109" t="s">
        <v>1636</v>
      </c>
      <c r="C227" s="1110" t="s">
        <v>1323</v>
      </c>
      <c r="D227" s="153">
        <v>6000</v>
      </c>
      <c r="E227" s="2">
        <f t="shared" si="8"/>
        <v>978</v>
      </c>
      <c r="F227" s="155">
        <f t="shared" si="6"/>
        <v>3.5999999999999996</v>
      </c>
      <c r="G227" s="99">
        <f t="shared" si="7"/>
        <v>31.2</v>
      </c>
      <c r="H227" s="162"/>
      <c r="I227" s="162"/>
      <c r="J227" s="162"/>
      <c r="K227" s="163"/>
      <c r="L227" s="163"/>
      <c r="M227" s="162"/>
      <c r="N227" s="162"/>
      <c r="O227" s="162"/>
      <c r="P227" s="162"/>
      <c r="Q227" s="162"/>
      <c r="R227" s="162"/>
      <c r="S227" s="162"/>
      <c r="T227" s="162"/>
      <c r="U227" s="162"/>
      <c r="V227" s="162"/>
      <c r="W227" s="162"/>
      <c r="X227" s="162"/>
      <c r="Y227" s="162"/>
      <c r="Z227" s="162"/>
      <c r="AA227" s="162"/>
      <c r="AB227" s="162"/>
      <c r="AC227" s="162"/>
      <c r="AD227" s="162"/>
    </row>
    <row r="228" spans="1:30" ht="25.5">
      <c r="A228" s="93"/>
      <c r="B228" s="1109" t="s">
        <v>1637</v>
      </c>
      <c r="C228" s="1110" t="s">
        <v>1323</v>
      </c>
      <c r="D228" s="153">
        <v>1300</v>
      </c>
      <c r="E228" s="2">
        <f t="shared" si="8"/>
        <v>211.9</v>
      </c>
      <c r="F228" s="155">
        <f t="shared" si="6"/>
        <v>0.77999999999999992</v>
      </c>
      <c r="G228" s="99">
        <f t="shared" si="7"/>
        <v>6.76</v>
      </c>
      <c r="H228" s="162"/>
      <c r="I228" s="162"/>
      <c r="J228" s="162"/>
      <c r="K228" s="163"/>
      <c r="L228" s="163"/>
      <c r="M228" s="162"/>
      <c r="N228" s="162"/>
      <c r="O228" s="162"/>
      <c r="P228" s="162"/>
      <c r="Q228" s="162"/>
      <c r="R228" s="162"/>
      <c r="S228" s="162"/>
      <c r="T228" s="162"/>
      <c r="U228" s="162"/>
      <c r="V228" s="162"/>
      <c r="W228" s="162"/>
      <c r="X228" s="162"/>
      <c r="Y228" s="162"/>
      <c r="Z228" s="162"/>
      <c r="AA228" s="162"/>
      <c r="AB228" s="162"/>
      <c r="AC228" s="162"/>
      <c r="AD228" s="162"/>
    </row>
    <row r="229" spans="1:30">
      <c r="A229" s="93"/>
      <c r="B229" s="1109" t="s">
        <v>1638</v>
      </c>
      <c r="C229" s="1110" t="s">
        <v>1323</v>
      </c>
      <c r="D229" s="153">
        <v>1300</v>
      </c>
      <c r="E229" s="2">
        <f t="shared" si="8"/>
        <v>211.9</v>
      </c>
      <c r="F229" s="155">
        <f t="shared" si="6"/>
        <v>0.77999999999999992</v>
      </c>
      <c r="G229" s="99">
        <f t="shared" si="7"/>
        <v>6.76</v>
      </c>
      <c r="H229" s="162"/>
      <c r="I229" s="162"/>
      <c r="J229" s="162"/>
      <c r="K229" s="163"/>
      <c r="L229" s="163"/>
      <c r="M229" s="162"/>
      <c r="N229" s="162"/>
      <c r="O229" s="162"/>
      <c r="P229" s="162"/>
      <c r="Q229" s="162"/>
      <c r="R229" s="162"/>
      <c r="S229" s="162"/>
      <c r="T229" s="162"/>
      <c r="U229" s="162"/>
      <c r="V229" s="162"/>
      <c r="W229" s="162"/>
      <c r="X229" s="162"/>
      <c r="Y229" s="162"/>
      <c r="Z229" s="162"/>
      <c r="AA229" s="162"/>
      <c r="AB229" s="162"/>
      <c r="AC229" s="162"/>
      <c r="AD229" s="162"/>
    </row>
    <row r="230" spans="1:30">
      <c r="A230" s="93"/>
      <c r="B230" s="1109" t="s">
        <v>1639</v>
      </c>
      <c r="C230" s="1110" t="s">
        <v>1323</v>
      </c>
      <c r="D230" s="153">
        <v>1300</v>
      </c>
      <c r="E230" s="2">
        <f t="shared" si="8"/>
        <v>211.9</v>
      </c>
      <c r="F230" s="155">
        <f t="shared" si="6"/>
        <v>0.77999999999999992</v>
      </c>
      <c r="G230" s="99">
        <f t="shared" si="7"/>
        <v>6.76</v>
      </c>
      <c r="H230" s="162"/>
      <c r="I230" s="162"/>
      <c r="J230" s="162"/>
      <c r="K230" s="163"/>
      <c r="L230" s="163"/>
      <c r="M230" s="162"/>
      <c r="N230" s="162"/>
      <c r="O230" s="162"/>
      <c r="P230" s="162"/>
      <c r="Q230" s="162"/>
      <c r="R230" s="162"/>
      <c r="S230" s="162"/>
      <c r="T230" s="162"/>
      <c r="U230" s="162"/>
      <c r="V230" s="162"/>
      <c r="W230" s="162"/>
      <c r="X230" s="162"/>
      <c r="Y230" s="162"/>
      <c r="Z230" s="162"/>
      <c r="AA230" s="162"/>
      <c r="AB230" s="162"/>
      <c r="AC230" s="162"/>
      <c r="AD230" s="162"/>
    </row>
    <row r="231" spans="1:30">
      <c r="A231" s="93"/>
      <c r="B231" s="1109" t="s">
        <v>1640</v>
      </c>
      <c r="C231" s="1110" t="s">
        <v>1323</v>
      </c>
      <c r="D231" s="153">
        <v>1300</v>
      </c>
      <c r="E231" s="2">
        <f t="shared" si="8"/>
        <v>211.9</v>
      </c>
      <c r="F231" s="155">
        <f t="shared" si="6"/>
        <v>0.77999999999999992</v>
      </c>
      <c r="G231" s="99">
        <f t="shared" si="7"/>
        <v>6.76</v>
      </c>
      <c r="H231" s="162"/>
      <c r="I231" s="162"/>
      <c r="J231" s="162"/>
      <c r="K231" s="163"/>
      <c r="L231" s="163"/>
      <c r="M231" s="162"/>
      <c r="N231" s="162"/>
      <c r="O231" s="162"/>
      <c r="P231" s="162"/>
      <c r="Q231" s="162"/>
      <c r="R231" s="162"/>
      <c r="S231" s="162"/>
      <c r="T231" s="162"/>
      <c r="U231" s="162"/>
      <c r="V231" s="162"/>
      <c r="W231" s="162"/>
      <c r="X231" s="162"/>
      <c r="Y231" s="162"/>
      <c r="Z231" s="162"/>
      <c r="AA231" s="162"/>
      <c r="AB231" s="162"/>
      <c r="AC231" s="162"/>
      <c r="AD231" s="162"/>
    </row>
    <row r="232" spans="1:30" ht="25.5">
      <c r="A232" s="93"/>
      <c r="B232" s="1109" t="s">
        <v>1630</v>
      </c>
      <c r="C232" s="1110" t="s">
        <v>1323</v>
      </c>
      <c r="D232" s="153">
        <v>3800</v>
      </c>
      <c r="E232" s="2">
        <f t="shared" si="8"/>
        <v>619.4</v>
      </c>
      <c r="F232" s="155">
        <f t="shared" si="6"/>
        <v>2.2799999999999998</v>
      </c>
      <c r="G232" s="99">
        <f t="shared" si="7"/>
        <v>19.759999999999998</v>
      </c>
      <c r="H232" s="162"/>
      <c r="I232" s="162"/>
      <c r="J232" s="162"/>
      <c r="K232" s="163"/>
      <c r="L232" s="163"/>
      <c r="M232" s="162"/>
      <c r="N232" s="162"/>
      <c r="O232" s="162"/>
      <c r="P232" s="162"/>
      <c r="Q232" s="162"/>
      <c r="R232" s="162"/>
      <c r="S232" s="162"/>
      <c r="T232" s="162"/>
      <c r="U232" s="162"/>
      <c r="V232" s="162"/>
      <c r="W232" s="162"/>
      <c r="X232" s="162"/>
      <c r="Y232" s="162"/>
      <c r="Z232" s="162"/>
      <c r="AA232" s="162"/>
      <c r="AB232" s="162"/>
      <c r="AC232" s="162"/>
      <c r="AD232" s="162"/>
    </row>
    <row r="233" spans="1:30">
      <c r="A233" s="93"/>
      <c r="B233" s="1109" t="s">
        <v>1641</v>
      </c>
      <c r="C233" s="1110" t="s">
        <v>1323</v>
      </c>
      <c r="D233" s="153">
        <v>3800</v>
      </c>
      <c r="E233" s="2">
        <f t="shared" si="8"/>
        <v>619.4</v>
      </c>
      <c r="F233" s="155">
        <f t="shared" si="6"/>
        <v>2.2799999999999998</v>
      </c>
      <c r="G233" s="99">
        <f t="shared" si="7"/>
        <v>19.759999999999998</v>
      </c>
      <c r="H233" s="162"/>
      <c r="I233" s="162"/>
      <c r="J233" s="162"/>
      <c r="K233" s="163"/>
      <c r="L233" s="163"/>
      <c r="M233" s="162"/>
      <c r="N233" s="162"/>
      <c r="O233" s="162"/>
      <c r="P233" s="162"/>
      <c r="Q233" s="162"/>
      <c r="R233" s="162"/>
      <c r="S233" s="162"/>
      <c r="T233" s="162"/>
      <c r="U233" s="162"/>
      <c r="V233" s="162"/>
      <c r="W233" s="162"/>
      <c r="X233" s="162"/>
      <c r="Y233" s="162"/>
      <c r="Z233" s="162"/>
      <c r="AA233" s="162"/>
      <c r="AB233" s="162"/>
      <c r="AC233" s="162"/>
      <c r="AD233" s="162"/>
    </row>
    <row r="234" spans="1:30" ht="25.5">
      <c r="A234" s="93"/>
      <c r="B234" s="1109" t="s">
        <v>1617</v>
      </c>
      <c r="C234" s="1110" t="s">
        <v>1323</v>
      </c>
      <c r="D234" s="153">
        <v>3800</v>
      </c>
      <c r="E234" s="2">
        <f t="shared" si="8"/>
        <v>619.4</v>
      </c>
      <c r="F234" s="155">
        <f t="shared" si="6"/>
        <v>2.2799999999999998</v>
      </c>
      <c r="G234" s="99">
        <f t="shared" si="7"/>
        <v>19.759999999999998</v>
      </c>
      <c r="H234" s="162"/>
      <c r="I234" s="162"/>
      <c r="J234" s="162"/>
      <c r="K234" s="163"/>
      <c r="L234" s="163"/>
      <c r="M234" s="162"/>
      <c r="N234" s="162"/>
      <c r="O234" s="162"/>
      <c r="P234" s="162"/>
      <c r="Q234" s="162"/>
      <c r="R234" s="162"/>
      <c r="S234" s="162"/>
      <c r="T234" s="162"/>
      <c r="U234" s="162"/>
      <c r="V234" s="162"/>
      <c r="W234" s="162"/>
      <c r="X234" s="162"/>
      <c r="Y234" s="162"/>
      <c r="Z234" s="162"/>
      <c r="AA234" s="162"/>
      <c r="AB234" s="162"/>
      <c r="AC234" s="162"/>
      <c r="AD234" s="162"/>
    </row>
    <row r="235" spans="1:30" ht="25.5">
      <c r="A235" s="93"/>
      <c r="B235" s="1109" t="s">
        <v>1617</v>
      </c>
      <c r="C235" s="1110" t="s">
        <v>1323</v>
      </c>
      <c r="D235" s="153">
        <v>14000</v>
      </c>
      <c r="E235" s="2">
        <f t="shared" si="8"/>
        <v>2282</v>
      </c>
      <c r="F235" s="155">
        <f t="shared" si="6"/>
        <v>8.3999999999999986</v>
      </c>
      <c r="G235" s="99">
        <f t="shared" si="7"/>
        <v>72.8</v>
      </c>
      <c r="H235" s="162"/>
      <c r="I235" s="162"/>
      <c r="J235" s="162"/>
      <c r="K235" s="163"/>
      <c r="L235" s="163"/>
      <c r="M235" s="162"/>
      <c r="N235" s="162"/>
      <c r="O235" s="162"/>
      <c r="P235" s="162"/>
      <c r="Q235" s="162"/>
      <c r="R235" s="162"/>
      <c r="S235" s="162"/>
      <c r="T235" s="162"/>
      <c r="U235" s="162"/>
      <c r="V235" s="162"/>
      <c r="W235" s="162"/>
      <c r="X235" s="162"/>
      <c r="Y235" s="162"/>
      <c r="Z235" s="162"/>
      <c r="AA235" s="162"/>
      <c r="AB235" s="162"/>
      <c r="AC235" s="162"/>
      <c r="AD235" s="162"/>
    </row>
    <row r="236" spans="1:30">
      <c r="A236" s="93"/>
      <c r="B236" s="1109" t="s">
        <v>1639</v>
      </c>
      <c r="C236" s="1110" t="s">
        <v>1323</v>
      </c>
      <c r="D236" s="153">
        <v>14000</v>
      </c>
      <c r="E236" s="2">
        <f t="shared" si="8"/>
        <v>2282</v>
      </c>
      <c r="F236" s="155">
        <f t="shared" si="6"/>
        <v>8.3999999999999986</v>
      </c>
      <c r="G236" s="99">
        <f t="shared" si="7"/>
        <v>72.8</v>
      </c>
      <c r="H236" s="162"/>
      <c r="I236" s="162"/>
      <c r="J236" s="162"/>
      <c r="K236" s="163"/>
      <c r="L236" s="163"/>
      <c r="M236" s="162"/>
      <c r="N236" s="162"/>
      <c r="O236" s="162"/>
      <c r="P236" s="162"/>
      <c r="Q236" s="162"/>
      <c r="R236" s="162"/>
      <c r="S236" s="162"/>
      <c r="T236" s="162"/>
      <c r="U236" s="162"/>
      <c r="V236" s="162"/>
      <c r="W236" s="162"/>
      <c r="X236" s="162"/>
      <c r="Y236" s="162"/>
      <c r="Z236" s="162"/>
      <c r="AA236" s="162"/>
      <c r="AB236" s="162"/>
      <c r="AC236" s="162"/>
      <c r="AD236" s="162"/>
    </row>
    <row r="237" spans="1:30" ht="25.5">
      <c r="A237" s="93"/>
      <c r="B237" s="1109" t="s">
        <v>1617</v>
      </c>
      <c r="C237" s="1110" t="s">
        <v>1323</v>
      </c>
      <c r="D237" s="153">
        <v>14000</v>
      </c>
      <c r="E237" s="2">
        <f t="shared" si="8"/>
        <v>2282</v>
      </c>
      <c r="F237" s="155">
        <f t="shared" si="6"/>
        <v>8.3999999999999986</v>
      </c>
      <c r="G237" s="99">
        <f t="shared" si="7"/>
        <v>72.8</v>
      </c>
      <c r="H237" s="162"/>
      <c r="I237" s="162"/>
      <c r="J237" s="162"/>
      <c r="K237" s="163"/>
      <c r="L237" s="163"/>
      <c r="M237" s="162"/>
      <c r="N237" s="162"/>
      <c r="O237" s="162"/>
      <c r="P237" s="162"/>
      <c r="Q237" s="162"/>
      <c r="R237" s="162"/>
      <c r="S237" s="162"/>
      <c r="T237" s="162"/>
      <c r="U237" s="162"/>
      <c r="V237" s="162"/>
      <c r="W237" s="162"/>
      <c r="X237" s="162"/>
      <c r="Y237" s="162"/>
      <c r="Z237" s="162"/>
      <c r="AA237" s="162"/>
      <c r="AB237" s="162"/>
      <c r="AC237" s="162"/>
      <c r="AD237" s="162"/>
    </row>
    <row r="238" spans="1:30" ht="25.5">
      <c r="A238" s="93"/>
      <c r="B238" s="1109" t="s">
        <v>1642</v>
      </c>
      <c r="C238" s="1110" t="s">
        <v>1323</v>
      </c>
      <c r="D238" s="153">
        <v>14000</v>
      </c>
      <c r="E238" s="2">
        <f t="shared" si="8"/>
        <v>2282</v>
      </c>
      <c r="F238" s="155">
        <f t="shared" si="6"/>
        <v>8.3999999999999986</v>
      </c>
      <c r="G238" s="99">
        <f t="shared" si="7"/>
        <v>72.8</v>
      </c>
      <c r="H238" s="162"/>
      <c r="I238" s="162"/>
      <c r="J238" s="162"/>
      <c r="K238" s="163"/>
      <c r="L238" s="163"/>
      <c r="M238" s="162"/>
      <c r="N238" s="162"/>
      <c r="O238" s="162"/>
      <c r="P238" s="162"/>
      <c r="Q238" s="162"/>
      <c r="R238" s="162"/>
      <c r="S238" s="162"/>
      <c r="T238" s="162"/>
      <c r="U238" s="162"/>
      <c r="V238" s="162"/>
      <c r="W238" s="162"/>
      <c r="X238" s="162"/>
      <c r="Y238" s="162"/>
      <c r="Z238" s="162"/>
      <c r="AA238" s="162"/>
      <c r="AB238" s="162"/>
      <c r="AC238" s="162"/>
      <c r="AD238" s="162"/>
    </row>
    <row r="239" spans="1:30" ht="25.5">
      <c r="A239" s="93"/>
      <c r="B239" s="1109" t="s">
        <v>1643</v>
      </c>
      <c r="C239" s="1110" t="s">
        <v>1323</v>
      </c>
      <c r="D239" s="153">
        <v>14000</v>
      </c>
      <c r="E239" s="2">
        <f t="shared" si="8"/>
        <v>2282</v>
      </c>
      <c r="F239" s="155">
        <f t="shared" si="6"/>
        <v>8.3999999999999986</v>
      </c>
      <c r="G239" s="99">
        <f t="shared" si="7"/>
        <v>72.8</v>
      </c>
      <c r="H239" s="162"/>
      <c r="I239" s="162"/>
      <c r="J239" s="162"/>
      <c r="K239" s="163"/>
      <c r="L239" s="163"/>
      <c r="M239" s="162"/>
      <c r="N239" s="162"/>
      <c r="O239" s="162"/>
      <c r="P239" s="162"/>
      <c r="Q239" s="162"/>
      <c r="R239" s="162"/>
      <c r="S239" s="162"/>
      <c r="T239" s="162"/>
      <c r="U239" s="162"/>
      <c r="V239" s="162"/>
      <c r="W239" s="162"/>
      <c r="X239" s="162"/>
      <c r="Y239" s="162"/>
      <c r="Z239" s="162"/>
      <c r="AA239" s="162"/>
      <c r="AB239" s="162"/>
      <c r="AC239" s="162"/>
      <c r="AD239" s="162"/>
    </row>
    <row r="240" spans="1:30">
      <c r="A240" s="93"/>
      <c r="B240" s="1109" t="s">
        <v>1644</v>
      </c>
      <c r="C240" s="1110" t="s">
        <v>1323</v>
      </c>
      <c r="D240" s="153">
        <v>14000</v>
      </c>
      <c r="E240" s="2">
        <f t="shared" si="8"/>
        <v>2282</v>
      </c>
      <c r="F240" s="155">
        <f t="shared" si="6"/>
        <v>8.3999999999999986</v>
      </c>
      <c r="G240" s="99">
        <f t="shared" si="7"/>
        <v>72.8</v>
      </c>
      <c r="H240" s="162"/>
      <c r="I240" s="162"/>
      <c r="J240" s="162"/>
      <c r="K240" s="163"/>
      <c r="L240" s="163"/>
      <c r="M240" s="162"/>
      <c r="N240" s="162"/>
      <c r="O240" s="162"/>
      <c r="P240" s="162"/>
      <c r="Q240" s="162"/>
      <c r="R240" s="162"/>
      <c r="S240" s="162"/>
      <c r="T240" s="162"/>
      <c r="U240" s="162"/>
      <c r="V240" s="162"/>
      <c r="W240" s="162"/>
      <c r="X240" s="162"/>
      <c r="Y240" s="162"/>
      <c r="Z240" s="162"/>
      <c r="AA240" s="162"/>
      <c r="AB240" s="162"/>
      <c r="AC240" s="162"/>
      <c r="AD240" s="162"/>
    </row>
    <row r="241" spans="1:30" ht="25.5">
      <c r="A241" s="93"/>
      <c r="B241" s="1109" t="s">
        <v>1645</v>
      </c>
      <c r="C241" s="1110" t="s">
        <v>1323</v>
      </c>
      <c r="D241" s="153">
        <v>14000</v>
      </c>
      <c r="E241" s="2">
        <f t="shared" si="8"/>
        <v>2282</v>
      </c>
      <c r="F241" s="155">
        <f t="shared" si="6"/>
        <v>8.3999999999999986</v>
      </c>
      <c r="G241" s="99">
        <f t="shared" si="7"/>
        <v>72.8</v>
      </c>
      <c r="H241" s="162"/>
      <c r="I241" s="162"/>
      <c r="J241" s="162"/>
      <c r="K241" s="163"/>
      <c r="L241" s="163"/>
      <c r="M241" s="162"/>
      <c r="N241" s="162"/>
      <c r="O241" s="162"/>
      <c r="P241" s="162"/>
      <c r="Q241" s="162"/>
      <c r="R241" s="162"/>
      <c r="S241" s="162"/>
      <c r="T241" s="162"/>
      <c r="U241" s="162"/>
      <c r="V241" s="162"/>
      <c r="W241" s="162"/>
      <c r="X241" s="162"/>
      <c r="Y241" s="162"/>
      <c r="Z241" s="162"/>
      <c r="AA241" s="162"/>
      <c r="AB241" s="162"/>
      <c r="AC241" s="162"/>
      <c r="AD241" s="162"/>
    </row>
    <row r="242" spans="1:30" ht="25.5">
      <c r="A242" s="93"/>
      <c r="B242" s="1109" t="s">
        <v>1646</v>
      </c>
      <c r="C242" s="1110" t="s">
        <v>1323</v>
      </c>
      <c r="D242" s="153">
        <v>10000</v>
      </c>
      <c r="E242" s="2">
        <f t="shared" si="8"/>
        <v>1630</v>
      </c>
      <c r="F242" s="155">
        <f t="shared" si="6"/>
        <v>5.9999999999999991</v>
      </c>
      <c r="G242" s="99">
        <f t="shared" si="7"/>
        <v>52</v>
      </c>
      <c r="H242" s="162"/>
      <c r="I242" s="162"/>
      <c r="J242" s="162"/>
      <c r="K242" s="163"/>
      <c r="L242" s="163"/>
      <c r="M242" s="162"/>
      <c r="N242" s="162"/>
      <c r="O242" s="162"/>
      <c r="P242" s="162"/>
      <c r="Q242" s="162"/>
      <c r="R242" s="162"/>
      <c r="S242" s="162"/>
      <c r="T242" s="162"/>
      <c r="U242" s="162"/>
      <c r="V242" s="162"/>
      <c r="W242" s="162"/>
      <c r="X242" s="162"/>
      <c r="Y242" s="162"/>
      <c r="Z242" s="162"/>
      <c r="AA242" s="162"/>
      <c r="AB242" s="162"/>
      <c r="AC242" s="162"/>
      <c r="AD242" s="162"/>
    </row>
    <row r="243" spans="1:30">
      <c r="A243" s="93"/>
      <c r="B243" s="1109" t="s">
        <v>1647</v>
      </c>
      <c r="C243" s="1110" t="s">
        <v>1323</v>
      </c>
      <c r="D243" s="153">
        <v>10000</v>
      </c>
      <c r="E243" s="2">
        <f t="shared" si="8"/>
        <v>1630</v>
      </c>
      <c r="F243" s="155">
        <f t="shared" si="6"/>
        <v>5.9999999999999991</v>
      </c>
      <c r="G243" s="99">
        <f t="shared" si="7"/>
        <v>52</v>
      </c>
      <c r="H243" s="162"/>
      <c r="I243" s="162"/>
      <c r="J243" s="162"/>
      <c r="K243" s="163"/>
      <c r="L243" s="163"/>
      <c r="M243" s="162"/>
      <c r="N243" s="162"/>
      <c r="O243" s="162"/>
      <c r="P243" s="162"/>
      <c r="Q243" s="162"/>
      <c r="R243" s="162"/>
      <c r="S243" s="162"/>
      <c r="T243" s="162"/>
      <c r="U243" s="162"/>
      <c r="V243" s="162"/>
      <c r="W243" s="162"/>
      <c r="X243" s="162"/>
      <c r="Y243" s="162"/>
      <c r="Z243" s="162"/>
      <c r="AA243" s="162"/>
      <c r="AB243" s="162"/>
      <c r="AC243" s="162"/>
      <c r="AD243" s="162"/>
    </row>
    <row r="244" spans="1:30">
      <c r="A244" s="93"/>
      <c r="B244" s="1109" t="s">
        <v>1647</v>
      </c>
      <c r="C244" s="1110" t="s">
        <v>1323</v>
      </c>
      <c r="D244" s="153">
        <v>10000</v>
      </c>
      <c r="E244" s="2">
        <f>IF($C244="","",VLOOKUP($C244,Biz_Travel_Fctr,2,FALSE)*$D244)</f>
        <v>1630</v>
      </c>
      <c r="F244" s="155">
        <f>IF($C244="","",VLOOKUP($C244,Biz_Travel_Fctr,3,FALSE)*$D244)</f>
        <v>5.9999999999999991</v>
      </c>
      <c r="G244" s="99">
        <f>IF($C244="","",VLOOKUP($C244,Biz_Travel_Fctr,4,FALSE)*$D244)</f>
        <v>52</v>
      </c>
      <c r="H244" s="162"/>
      <c r="I244" s="162"/>
      <c r="J244" s="162"/>
      <c r="K244" s="163"/>
      <c r="L244" s="163"/>
      <c r="M244" s="162"/>
      <c r="N244" s="162"/>
      <c r="O244" s="162"/>
      <c r="P244" s="162"/>
      <c r="Q244" s="162"/>
      <c r="R244" s="162"/>
      <c r="S244" s="162"/>
      <c r="T244" s="162"/>
      <c r="U244" s="162"/>
      <c r="V244" s="162"/>
      <c r="W244" s="162"/>
      <c r="X244" s="162"/>
      <c r="Y244" s="162"/>
      <c r="Z244" s="162"/>
      <c r="AA244" s="162"/>
      <c r="AB244" s="162"/>
      <c r="AC244" s="162"/>
      <c r="AD244" s="162"/>
    </row>
    <row r="245" spans="1:30" ht="25.5">
      <c r="A245" s="93"/>
      <c r="B245" s="1109" t="s">
        <v>1648</v>
      </c>
      <c r="C245" s="1110" t="s">
        <v>1323</v>
      </c>
      <c r="D245" s="153">
        <v>10000</v>
      </c>
      <c r="E245" s="2">
        <f>IF($C245="","",VLOOKUP($C245,Biz_Travel_Fctr,2,FALSE)*$D245)</f>
        <v>1630</v>
      </c>
      <c r="F245" s="155">
        <f>IF($C245="","",VLOOKUP($C245,Biz_Travel_Fctr,3,FALSE)*$D245)</f>
        <v>5.9999999999999991</v>
      </c>
      <c r="G245" s="99">
        <f>IF($C245="","",VLOOKUP($C245,Biz_Travel_Fctr,4,FALSE)*$D245)</f>
        <v>52</v>
      </c>
      <c r="H245" s="162"/>
      <c r="I245" s="162"/>
      <c r="J245" s="162"/>
      <c r="K245" s="163"/>
      <c r="L245" s="163"/>
      <c r="M245" s="162"/>
      <c r="N245" s="162"/>
      <c r="O245" s="162"/>
      <c r="P245" s="162"/>
      <c r="Q245" s="162"/>
      <c r="R245" s="162"/>
      <c r="S245" s="162"/>
      <c r="T245" s="162"/>
      <c r="U245" s="162"/>
      <c r="V245" s="162"/>
      <c r="W245" s="162"/>
      <c r="X245" s="162"/>
      <c r="Y245" s="162"/>
      <c r="Z245" s="162"/>
      <c r="AA245" s="162"/>
      <c r="AB245" s="162"/>
      <c r="AC245" s="162"/>
      <c r="AD245" s="162"/>
    </row>
    <row r="246" spans="1:30" ht="13.5" thickBot="1">
      <c r="A246" s="94"/>
      <c r="B246" s="149"/>
      <c r="C246" s="156"/>
      <c r="D246" s="154"/>
      <c r="E246" s="79" t="str">
        <f t="shared" si="8"/>
        <v/>
      </c>
      <c r="F246" s="157" t="str">
        <f t="shared" si="6"/>
        <v/>
      </c>
      <c r="G246" s="111" t="str">
        <f t="shared" si="7"/>
        <v/>
      </c>
      <c r="H246" s="162"/>
      <c r="I246" s="226"/>
      <c r="J246" s="226"/>
      <c r="K246" s="226"/>
      <c r="L246" s="163"/>
      <c r="M246" s="162"/>
      <c r="N246" s="162"/>
      <c r="O246" s="162"/>
      <c r="P246" s="162"/>
      <c r="Q246" s="162"/>
      <c r="R246" s="162"/>
      <c r="S246" s="162"/>
      <c r="T246" s="162"/>
      <c r="U246" s="162"/>
      <c r="V246" s="162"/>
      <c r="W246" s="162"/>
      <c r="X246" s="162"/>
      <c r="Y246" s="162"/>
      <c r="Z246" s="162"/>
      <c r="AA246" s="162"/>
      <c r="AB246" s="162"/>
      <c r="AC246" s="162"/>
      <c r="AD246" s="162"/>
    </row>
    <row r="247" spans="1:30" ht="13.5" thickBot="1">
      <c r="A247" s="118" t="s">
        <v>572</v>
      </c>
      <c r="B247" s="37"/>
      <c r="C247" s="38"/>
      <c r="D247" s="133"/>
      <c r="E247" s="39">
        <f>SUM(E207:E246)</f>
        <v>39250.399999999994</v>
      </c>
      <c r="F247" s="105">
        <f>SUM(F207:F246)</f>
        <v>144.48000000000005</v>
      </c>
      <c r="G247" s="100">
        <f>SUM(G207:G246)</f>
        <v>1252.1599999999996</v>
      </c>
      <c r="H247" s="162"/>
      <c r="I247" s="162"/>
      <c r="J247" s="162"/>
      <c r="K247" s="163"/>
      <c r="L247" s="163"/>
      <c r="M247" s="162"/>
      <c r="N247" s="162"/>
      <c r="O247" s="162"/>
      <c r="P247" s="162"/>
      <c r="Q247" s="162"/>
      <c r="R247" s="162"/>
      <c r="S247" s="162"/>
      <c r="T247" s="162"/>
      <c r="U247" s="162"/>
      <c r="V247" s="162"/>
      <c r="W247" s="162"/>
      <c r="X247" s="162"/>
      <c r="Y247" s="162"/>
      <c r="Z247" s="162"/>
      <c r="AA247" s="162"/>
      <c r="AB247" s="162"/>
      <c r="AC247" s="162"/>
      <c r="AD247" s="162"/>
    </row>
    <row r="248" spans="1:30">
      <c r="A248" s="162"/>
      <c r="B248" s="162"/>
      <c r="C248" s="162"/>
      <c r="D248" s="226"/>
      <c r="E248" s="226"/>
      <c r="F248" s="227"/>
      <c r="G248" s="227"/>
      <c r="H248" s="162"/>
      <c r="I248" s="162"/>
      <c r="J248" s="162"/>
      <c r="K248" s="163"/>
      <c r="L248" s="163"/>
      <c r="M248" s="162"/>
      <c r="N248" s="162"/>
      <c r="O248" s="162"/>
      <c r="P248" s="162"/>
      <c r="Q248" s="162"/>
      <c r="R248" s="162"/>
      <c r="S248" s="162"/>
      <c r="T248" s="162"/>
      <c r="U248" s="162"/>
      <c r="V248" s="162"/>
      <c r="W248" s="162"/>
      <c r="X248" s="162"/>
      <c r="Y248" s="162"/>
      <c r="Z248" s="162"/>
      <c r="AA248" s="162"/>
      <c r="AB248" s="162"/>
      <c r="AC248" s="162"/>
      <c r="AD248" s="162"/>
    </row>
    <row r="249" spans="1:30">
      <c r="A249" s="254" t="s">
        <v>316</v>
      </c>
      <c r="B249" s="223"/>
      <c r="C249" s="223"/>
      <c r="D249" s="223"/>
      <c r="E249" s="223"/>
      <c r="F249" s="223"/>
      <c r="G249" s="223"/>
      <c r="H249" s="162"/>
      <c r="I249" s="162"/>
      <c r="J249" s="162"/>
      <c r="K249" s="162"/>
      <c r="L249" s="163"/>
      <c r="M249" s="163"/>
      <c r="N249" s="162"/>
      <c r="O249" s="162"/>
      <c r="P249" s="162"/>
      <c r="Q249" s="162"/>
      <c r="R249" s="162"/>
      <c r="S249" s="162"/>
      <c r="T249" s="162"/>
      <c r="U249" s="162"/>
      <c r="V249" s="162"/>
      <c r="W249" s="162"/>
      <c r="X249" s="162"/>
      <c r="Y249" s="162"/>
      <c r="Z249" s="162"/>
      <c r="AA249" s="162"/>
      <c r="AB249" s="162"/>
      <c r="AC249" s="162"/>
      <c r="AD249" s="162"/>
    </row>
    <row r="250" spans="1:30">
      <c r="A250" s="4"/>
      <c r="B250" s="4"/>
      <c r="C250" s="4"/>
      <c r="D250" s="4"/>
      <c r="E250" s="4"/>
      <c r="F250" s="4"/>
      <c r="G250" s="4"/>
      <c r="H250" s="162"/>
      <c r="I250" s="162"/>
      <c r="J250" s="162"/>
      <c r="K250" s="162"/>
      <c r="L250" s="163"/>
      <c r="M250" s="163"/>
      <c r="N250" s="162"/>
      <c r="O250" s="162"/>
      <c r="P250" s="162"/>
      <c r="Q250" s="162"/>
      <c r="R250" s="162"/>
      <c r="S250" s="162"/>
      <c r="T250" s="162"/>
      <c r="U250" s="162"/>
      <c r="V250" s="162"/>
      <c r="W250" s="162"/>
      <c r="X250" s="162"/>
      <c r="Y250" s="162"/>
      <c r="Z250" s="162"/>
      <c r="AA250" s="162"/>
      <c r="AB250" s="162"/>
      <c r="AC250" s="162"/>
      <c r="AD250" s="162"/>
    </row>
    <row r="251" spans="1:30" ht="15" thickBot="1">
      <c r="A251" s="7" t="s">
        <v>304</v>
      </c>
      <c r="B251" s="4"/>
      <c r="C251" s="832"/>
      <c r="D251" s="832"/>
      <c r="E251" s="832"/>
      <c r="F251" s="4"/>
      <c r="G251" s="4"/>
      <c r="H251" s="162"/>
      <c r="I251" s="162"/>
      <c r="J251" s="162"/>
      <c r="K251" s="162"/>
      <c r="L251" s="162"/>
      <c r="M251" s="163"/>
      <c r="N251" s="162"/>
      <c r="O251" s="162"/>
      <c r="P251" s="162"/>
      <c r="Q251" s="162"/>
      <c r="R251" s="162"/>
      <c r="S251" s="162"/>
      <c r="T251" s="162"/>
      <c r="U251" s="162"/>
      <c r="V251" s="162"/>
      <c r="W251" s="162"/>
      <c r="X251" s="162"/>
      <c r="Y251" s="162"/>
      <c r="Z251" s="162"/>
      <c r="AA251" s="162"/>
      <c r="AB251" s="162"/>
      <c r="AC251" s="162"/>
      <c r="AD251" s="162"/>
    </row>
    <row r="252" spans="1:30" ht="15" thickBot="1">
      <c r="A252" s="1273" t="s">
        <v>290</v>
      </c>
      <c r="B252" s="1274"/>
      <c r="C252" s="13" t="s">
        <v>291</v>
      </c>
      <c r="D252" s="13" t="s">
        <v>292</v>
      </c>
      <c r="E252" s="14" t="s">
        <v>255</v>
      </c>
      <c r="F252" s="4"/>
      <c r="G252" s="4"/>
      <c r="H252" s="162"/>
      <c r="I252" s="162"/>
      <c r="J252" s="162"/>
      <c r="K252" s="162"/>
      <c r="L252" s="162"/>
      <c r="M252" s="163"/>
      <c r="N252" s="162"/>
      <c r="O252" s="162"/>
      <c r="P252" s="162"/>
      <c r="Q252" s="162"/>
      <c r="R252" s="162"/>
      <c r="S252" s="162"/>
      <c r="T252" s="162"/>
      <c r="U252" s="162"/>
      <c r="V252" s="162"/>
      <c r="W252" s="162"/>
      <c r="X252" s="162"/>
      <c r="Y252" s="162"/>
      <c r="Z252" s="162"/>
      <c r="AA252" s="162"/>
      <c r="AB252" s="162"/>
      <c r="AC252" s="162"/>
      <c r="AD252" s="162"/>
    </row>
    <row r="253" spans="1:30">
      <c r="A253" s="1275" t="s">
        <v>3</v>
      </c>
      <c r="B253" s="1276"/>
      <c r="C253" s="52">
        <f>SUMIF($C$18:$C$148,$A253,E$18:E$148)</f>
        <v>0</v>
      </c>
      <c r="D253" s="52">
        <f t="shared" ref="C253:E255" si="9">SUMIF($C$18:$C$148,$A253,F$18:F$148)</f>
        <v>0</v>
      </c>
      <c r="E253" s="398">
        <f t="shared" si="9"/>
        <v>0</v>
      </c>
      <c r="F253" s="4"/>
      <c r="G253" s="4"/>
      <c r="H253" s="162"/>
      <c r="I253" s="162"/>
      <c r="J253" s="162"/>
      <c r="K253" s="162"/>
      <c r="L253" s="162"/>
      <c r="M253" s="163"/>
      <c r="N253" s="162"/>
      <c r="O253" s="162"/>
      <c r="P253" s="162"/>
      <c r="Q253" s="162"/>
      <c r="R253" s="162"/>
      <c r="S253" s="162"/>
      <c r="T253" s="162"/>
      <c r="U253" s="162"/>
      <c r="V253" s="162"/>
      <c r="W253" s="162"/>
      <c r="X253" s="162"/>
      <c r="Y253" s="162"/>
      <c r="Z253" s="162"/>
      <c r="AA253" s="162"/>
      <c r="AB253" s="162"/>
      <c r="AC253" s="162"/>
      <c r="AD253" s="162"/>
    </row>
    <row r="254" spans="1:30">
      <c r="A254" s="1271" t="s">
        <v>4</v>
      </c>
      <c r="B254" s="1272"/>
      <c r="C254" s="55">
        <f t="shared" si="9"/>
        <v>0</v>
      </c>
      <c r="D254" s="55">
        <f t="shared" si="9"/>
        <v>0</v>
      </c>
      <c r="E254" s="399">
        <f t="shared" si="9"/>
        <v>0</v>
      </c>
      <c r="F254" s="4"/>
      <c r="G254" s="63"/>
      <c r="H254" s="162"/>
      <c r="I254" s="162"/>
      <c r="J254" s="162"/>
      <c r="K254" s="162"/>
      <c r="L254" s="162"/>
      <c r="M254" s="163"/>
      <c r="N254" s="162"/>
      <c r="O254" s="162"/>
      <c r="P254" s="162"/>
      <c r="Q254" s="162"/>
      <c r="R254" s="162"/>
      <c r="S254" s="162"/>
      <c r="T254" s="162"/>
      <c r="U254" s="162"/>
      <c r="V254" s="162"/>
      <c r="W254" s="162"/>
      <c r="X254" s="162"/>
      <c r="Y254" s="162"/>
      <c r="Z254" s="162"/>
      <c r="AA254" s="162"/>
      <c r="AB254" s="162"/>
      <c r="AC254" s="162"/>
      <c r="AD254" s="162"/>
    </row>
    <row r="255" spans="1:30">
      <c r="A255" s="1271" t="s">
        <v>5</v>
      </c>
      <c r="B255" s="1272"/>
      <c r="C255" s="55">
        <f t="shared" si="9"/>
        <v>0</v>
      </c>
      <c r="D255" s="55">
        <f t="shared" si="9"/>
        <v>0</v>
      </c>
      <c r="E255" s="399">
        <f t="shared" si="9"/>
        <v>0</v>
      </c>
      <c r="F255" s="4"/>
      <c r="G255" s="63"/>
      <c r="H255" s="162"/>
      <c r="I255" s="162"/>
      <c r="J255" s="162"/>
      <c r="K255" s="162"/>
      <c r="L255" s="162"/>
      <c r="M255" s="163"/>
      <c r="N255" s="162"/>
      <c r="O255" s="162"/>
      <c r="P255" s="162"/>
      <c r="Q255" s="162"/>
      <c r="R255" s="162"/>
      <c r="S255" s="162"/>
      <c r="T255" s="162"/>
      <c r="U255" s="162"/>
      <c r="V255" s="162"/>
      <c r="W255" s="162"/>
      <c r="X255" s="162"/>
      <c r="Y255" s="162"/>
      <c r="Z255" s="162"/>
      <c r="AA255" s="162"/>
      <c r="AB255" s="162"/>
      <c r="AC255" s="162"/>
      <c r="AD255" s="162"/>
    </row>
    <row r="256" spans="1:30">
      <c r="A256" s="1271" t="s">
        <v>1183</v>
      </c>
      <c r="B256" s="1272"/>
      <c r="C256" s="55">
        <f t="shared" ref="C256:E261" si="10">SUMIF($C$154:$C$201,$A256,E$154:E$201)</f>
        <v>0</v>
      </c>
      <c r="D256" s="55">
        <f t="shared" si="10"/>
        <v>0</v>
      </c>
      <c r="E256" s="399">
        <f t="shared" si="10"/>
        <v>0</v>
      </c>
      <c r="F256" s="4"/>
      <c r="G256" s="63"/>
      <c r="H256" s="162"/>
      <c r="I256" s="162"/>
      <c r="J256" s="162"/>
      <c r="K256" s="162"/>
      <c r="L256" s="162"/>
      <c r="M256" s="163"/>
      <c r="N256" s="162"/>
      <c r="O256" s="162"/>
      <c r="P256" s="162"/>
      <c r="Q256" s="162"/>
      <c r="R256" s="162"/>
      <c r="S256" s="162"/>
      <c r="T256" s="162"/>
      <c r="U256" s="162"/>
      <c r="V256" s="162"/>
      <c r="W256" s="162"/>
      <c r="X256" s="162"/>
      <c r="Y256" s="162"/>
      <c r="Z256" s="162"/>
      <c r="AA256" s="162"/>
      <c r="AB256" s="162"/>
      <c r="AC256" s="162"/>
      <c r="AD256" s="162"/>
    </row>
    <row r="257" spans="1:30">
      <c r="A257" s="1271" t="s">
        <v>1184</v>
      </c>
      <c r="B257" s="1272"/>
      <c r="C257" s="55">
        <f t="shared" ref="C257:E258" si="11">SUMIF($C$154:$C$201,$A257,E$154:E$201)</f>
        <v>0</v>
      </c>
      <c r="D257" s="55">
        <f t="shared" si="11"/>
        <v>0</v>
      </c>
      <c r="E257" s="399">
        <f t="shared" si="11"/>
        <v>0</v>
      </c>
      <c r="F257" s="4"/>
      <c r="G257" s="4"/>
      <c r="H257" s="162"/>
      <c r="I257" s="162"/>
      <c r="J257" s="162"/>
      <c r="K257" s="162"/>
      <c r="L257" s="162"/>
      <c r="M257" s="163"/>
      <c r="N257" s="162"/>
      <c r="O257" s="162"/>
      <c r="P257" s="162"/>
      <c r="Q257" s="162"/>
      <c r="R257" s="162"/>
      <c r="S257" s="162"/>
      <c r="T257" s="162"/>
      <c r="U257" s="162"/>
      <c r="V257" s="162"/>
      <c r="W257" s="162"/>
      <c r="X257" s="162"/>
      <c r="Y257" s="162"/>
      <c r="Z257" s="162"/>
      <c r="AA257" s="162"/>
      <c r="AB257" s="162"/>
      <c r="AC257" s="162"/>
      <c r="AD257" s="162"/>
    </row>
    <row r="258" spans="1:30">
      <c r="A258" s="1271" t="s">
        <v>1185</v>
      </c>
      <c r="B258" s="1272"/>
      <c r="C258" s="55">
        <f t="shared" si="11"/>
        <v>0</v>
      </c>
      <c r="D258" s="55">
        <f t="shared" si="11"/>
        <v>0</v>
      </c>
      <c r="E258" s="399">
        <f t="shared" si="11"/>
        <v>0</v>
      </c>
      <c r="F258" s="4"/>
      <c r="G258" s="4"/>
      <c r="H258" s="162"/>
      <c r="I258" s="162"/>
      <c r="J258" s="162"/>
      <c r="K258" s="162"/>
      <c r="L258" s="162"/>
      <c r="M258" s="163"/>
      <c r="N258" s="162"/>
      <c r="O258" s="162"/>
      <c r="P258" s="162"/>
      <c r="Q258" s="162"/>
      <c r="R258" s="162"/>
      <c r="S258" s="162"/>
      <c r="T258" s="162"/>
      <c r="U258" s="162"/>
      <c r="V258" s="162"/>
      <c r="W258" s="162"/>
      <c r="X258" s="162"/>
      <c r="Y258" s="162"/>
      <c r="Z258" s="162"/>
      <c r="AA258" s="162"/>
      <c r="AB258" s="162"/>
      <c r="AC258" s="162"/>
      <c r="AD258" s="162"/>
    </row>
    <row r="259" spans="1:30">
      <c r="A259" s="1271" t="s">
        <v>195</v>
      </c>
      <c r="B259" s="1272"/>
      <c r="C259" s="55">
        <f t="shared" si="10"/>
        <v>0</v>
      </c>
      <c r="D259" s="55">
        <f t="shared" si="10"/>
        <v>0</v>
      </c>
      <c r="E259" s="399">
        <f t="shared" si="10"/>
        <v>0</v>
      </c>
      <c r="F259" s="4"/>
      <c r="G259" s="4"/>
      <c r="H259" s="162"/>
      <c r="I259" s="162"/>
      <c r="J259" s="162"/>
      <c r="K259" s="162"/>
      <c r="L259" s="162"/>
      <c r="M259" s="163"/>
      <c r="N259" s="162"/>
      <c r="O259" s="162"/>
      <c r="P259" s="162"/>
      <c r="Q259" s="162"/>
      <c r="R259" s="162"/>
      <c r="S259" s="162"/>
      <c r="T259" s="162"/>
      <c r="U259" s="162"/>
      <c r="V259" s="162"/>
      <c r="W259" s="162"/>
      <c r="X259" s="162"/>
      <c r="Y259" s="162"/>
      <c r="Z259" s="162"/>
      <c r="AA259" s="162"/>
      <c r="AB259" s="162"/>
      <c r="AC259" s="162"/>
      <c r="AD259" s="162"/>
    </row>
    <row r="260" spans="1:30">
      <c r="A260" s="1271" t="s">
        <v>196</v>
      </c>
      <c r="B260" s="1272"/>
      <c r="C260" s="55">
        <f t="shared" si="10"/>
        <v>0</v>
      </c>
      <c r="D260" s="55">
        <f t="shared" si="10"/>
        <v>0</v>
      </c>
      <c r="E260" s="399">
        <f t="shared" si="10"/>
        <v>0</v>
      </c>
      <c r="F260" s="4"/>
      <c r="G260" s="4"/>
      <c r="H260" s="162"/>
      <c r="I260" s="162"/>
      <c r="J260" s="162"/>
      <c r="K260" s="162"/>
      <c r="L260" s="162"/>
      <c r="M260" s="163"/>
      <c r="N260" s="162"/>
      <c r="O260" s="162"/>
      <c r="P260" s="162"/>
      <c r="Q260" s="162"/>
      <c r="R260" s="162"/>
      <c r="S260" s="162"/>
      <c r="T260" s="162"/>
      <c r="U260" s="162"/>
      <c r="V260" s="162"/>
      <c r="W260" s="162"/>
      <c r="X260" s="162"/>
      <c r="Y260" s="162"/>
      <c r="Z260" s="162"/>
      <c r="AA260" s="162"/>
      <c r="AB260" s="162"/>
      <c r="AC260" s="162"/>
      <c r="AD260" s="162"/>
    </row>
    <row r="261" spans="1:30">
      <c r="A261" s="1271" t="s">
        <v>266</v>
      </c>
      <c r="B261" s="1272"/>
      <c r="C261" s="55">
        <f t="shared" si="10"/>
        <v>0</v>
      </c>
      <c r="D261" s="55">
        <f t="shared" si="10"/>
        <v>0</v>
      </c>
      <c r="E261" s="399">
        <f t="shared" si="10"/>
        <v>0</v>
      </c>
      <c r="F261" s="4"/>
      <c r="G261" s="4"/>
      <c r="H261" s="162"/>
      <c r="I261" s="162"/>
      <c r="J261" s="162"/>
      <c r="K261" s="162"/>
      <c r="L261" s="162"/>
      <c r="M261" s="163"/>
      <c r="N261" s="162"/>
      <c r="O261" s="162"/>
      <c r="P261" s="162"/>
      <c r="Q261" s="162"/>
      <c r="R261" s="162"/>
      <c r="S261" s="162"/>
      <c r="T261" s="162"/>
      <c r="U261" s="162"/>
      <c r="V261" s="162"/>
      <c r="W261" s="162"/>
      <c r="X261" s="162"/>
      <c r="Y261" s="162"/>
      <c r="Z261" s="162"/>
      <c r="AA261" s="162"/>
      <c r="AB261" s="162"/>
      <c r="AC261" s="162"/>
      <c r="AD261" s="162"/>
    </row>
    <row r="262" spans="1:30">
      <c r="A262" s="1279" t="s">
        <v>1321</v>
      </c>
      <c r="B262" s="1272"/>
      <c r="C262" s="55">
        <f t="shared" ref="C262:E263" si="12">SUMIF($C$207:$C$246,$A262,E$207:E$246)</f>
        <v>0</v>
      </c>
      <c r="D262" s="55">
        <f t="shared" si="12"/>
        <v>0</v>
      </c>
      <c r="E262" s="399">
        <f t="shared" si="12"/>
        <v>0</v>
      </c>
      <c r="F262" s="4"/>
      <c r="G262" s="4"/>
      <c r="H262" s="162"/>
      <c r="I262" s="162"/>
      <c r="J262" s="162"/>
      <c r="K262" s="162"/>
      <c r="L262" s="162"/>
      <c r="M262" s="163"/>
      <c r="N262" s="162"/>
      <c r="O262" s="162"/>
      <c r="P262" s="162"/>
      <c r="Q262" s="162"/>
      <c r="R262" s="162"/>
      <c r="S262" s="162"/>
      <c r="T262" s="162"/>
      <c r="U262" s="162"/>
      <c r="V262" s="162"/>
      <c r="W262" s="162"/>
      <c r="X262" s="162"/>
      <c r="Y262" s="162"/>
      <c r="Z262" s="162"/>
      <c r="AA262" s="162"/>
      <c r="AB262" s="162"/>
      <c r="AC262" s="162"/>
      <c r="AD262" s="162"/>
    </row>
    <row r="263" spans="1:30">
      <c r="A263" s="1271" t="s">
        <v>1322</v>
      </c>
      <c r="B263" s="1272"/>
      <c r="C263" s="55">
        <f>SUMIF($C$207:$C$246,$A263,E$207:E$246)</f>
        <v>0</v>
      </c>
      <c r="D263" s="55">
        <f t="shared" si="12"/>
        <v>0</v>
      </c>
      <c r="E263" s="399">
        <f t="shared" si="12"/>
        <v>0</v>
      </c>
      <c r="F263" s="4"/>
      <c r="G263" s="4"/>
      <c r="H263" s="162"/>
      <c r="I263" s="162"/>
      <c r="J263" s="162"/>
      <c r="K263" s="162"/>
      <c r="L263" s="162"/>
      <c r="M263" s="163"/>
      <c r="N263" s="162"/>
      <c r="O263" s="162"/>
      <c r="P263" s="162"/>
      <c r="Q263" s="162"/>
      <c r="R263" s="162"/>
      <c r="S263" s="162"/>
      <c r="T263" s="162"/>
      <c r="U263" s="162"/>
      <c r="V263" s="162"/>
      <c r="W263" s="162"/>
      <c r="X263" s="162"/>
      <c r="Y263" s="162"/>
      <c r="Z263" s="162"/>
      <c r="AA263" s="162"/>
      <c r="AB263" s="162"/>
      <c r="AC263" s="162"/>
      <c r="AD263" s="162"/>
    </row>
    <row r="264" spans="1:30" ht="13.5" thickBot="1">
      <c r="A264" s="1277" t="s">
        <v>1323</v>
      </c>
      <c r="B264" s="1278"/>
      <c r="C264" s="56">
        <f>SUMIF($C$207:$C$246,$A264,E$207:E$246)</f>
        <v>39250.399999999994</v>
      </c>
      <c r="D264" s="56">
        <f>SUMIF($C$207:$C$246,$A264,F$207:F$246)</f>
        <v>144.48000000000005</v>
      </c>
      <c r="E264" s="400">
        <f>SUMIF($C$207:$C$246,$A264,G$207:G$246)</f>
        <v>1252.1599999999996</v>
      </c>
      <c r="F264" s="4"/>
      <c r="G264" s="4"/>
      <c r="H264" s="162"/>
      <c r="I264" s="162"/>
      <c r="J264" s="162"/>
      <c r="K264" s="162"/>
      <c r="L264" s="163"/>
      <c r="M264" s="163"/>
      <c r="N264" s="162"/>
      <c r="O264" s="162"/>
      <c r="P264" s="162"/>
      <c r="Q264" s="162"/>
      <c r="R264" s="162"/>
      <c r="S264" s="162"/>
      <c r="T264" s="162"/>
      <c r="U264" s="162"/>
      <c r="V264" s="162"/>
      <c r="W264" s="162"/>
      <c r="X264" s="162"/>
      <c r="Y264" s="162"/>
      <c r="Z264" s="162"/>
      <c r="AA264" s="162"/>
      <c r="AB264" s="162"/>
      <c r="AC264" s="162"/>
      <c r="AD264" s="162"/>
    </row>
    <row r="265" spans="1:30" ht="13.5" thickBot="1">
      <c r="A265" s="3"/>
      <c r="B265" s="4"/>
      <c r="C265" s="4"/>
      <c r="D265" s="4"/>
      <c r="E265" s="4"/>
      <c r="F265" s="4"/>
      <c r="G265" s="4"/>
      <c r="H265" s="162"/>
      <c r="I265" s="162"/>
      <c r="J265" s="162"/>
      <c r="K265" s="162"/>
      <c r="L265" s="163"/>
      <c r="M265" s="163"/>
      <c r="N265" s="162"/>
      <c r="O265" s="162"/>
      <c r="P265" s="162"/>
      <c r="Q265" s="162"/>
      <c r="R265" s="162"/>
      <c r="S265" s="162"/>
      <c r="T265" s="162"/>
      <c r="U265" s="162"/>
      <c r="V265" s="162"/>
      <c r="W265" s="162"/>
      <c r="X265" s="162"/>
      <c r="Y265" s="162"/>
      <c r="Z265" s="162"/>
      <c r="AA265" s="162"/>
      <c r="AB265" s="162"/>
      <c r="AC265" s="162"/>
      <c r="AD265" s="162"/>
    </row>
    <row r="266" spans="1:30">
      <c r="A266" s="32"/>
      <c r="B266" s="40"/>
      <c r="C266" s="40"/>
      <c r="D266" s="413"/>
      <c r="E266" s="4"/>
      <c r="F266" s="4"/>
      <c r="G266" s="4"/>
      <c r="H266" s="162"/>
      <c r="I266" s="162"/>
      <c r="J266" s="162"/>
      <c r="K266" s="162"/>
      <c r="L266" s="163"/>
      <c r="M266" s="163"/>
      <c r="N266" s="162"/>
      <c r="O266" s="162"/>
      <c r="P266" s="162"/>
      <c r="Q266" s="162"/>
      <c r="R266" s="162"/>
      <c r="S266" s="162"/>
      <c r="T266" s="162"/>
      <c r="U266" s="162"/>
      <c r="V266" s="162"/>
      <c r="W266" s="162"/>
      <c r="X266" s="162"/>
      <c r="Y266" s="162"/>
      <c r="Z266" s="162"/>
      <c r="AA266" s="162"/>
      <c r="AB266" s="162"/>
      <c r="AC266" s="162"/>
      <c r="AD266" s="162"/>
    </row>
    <row r="267" spans="1:30" ht="15" thickBot="1">
      <c r="A267" s="34" t="s">
        <v>571</v>
      </c>
      <c r="B267" s="35"/>
      <c r="C267" s="35"/>
      <c r="D267" s="160">
        <f>(SUM(C253:C264)+SUM(D253:D264)/1000*CH4_GWP+SUM(E253:E264)/1000*N2O_GWP)/1000</f>
        <v>39.627155679999994</v>
      </c>
      <c r="E267" s="4"/>
      <c r="F267" s="63"/>
      <c r="G267" s="63"/>
      <c r="H267" s="63"/>
      <c r="I267" s="162"/>
      <c r="J267" s="162"/>
      <c r="K267" s="162"/>
      <c r="L267" s="163"/>
      <c r="M267" s="163"/>
      <c r="N267" s="162"/>
      <c r="O267" s="162"/>
      <c r="P267" s="162"/>
      <c r="Q267" s="162"/>
      <c r="R267" s="162"/>
      <c r="S267" s="162"/>
      <c r="T267" s="162"/>
      <c r="U267" s="162"/>
      <c r="V267" s="162"/>
      <c r="W267" s="162"/>
      <c r="X267" s="162"/>
      <c r="Y267" s="162"/>
      <c r="Z267" s="162"/>
      <c r="AA267" s="162"/>
      <c r="AB267" s="162"/>
      <c r="AC267" s="162"/>
      <c r="AD267" s="162"/>
    </row>
    <row r="268" spans="1:30">
      <c r="A268" s="162"/>
      <c r="B268" s="162"/>
      <c r="C268" s="162"/>
      <c r="D268" s="162"/>
      <c r="E268" s="162"/>
      <c r="F268" s="162"/>
      <c r="G268" s="162"/>
      <c r="H268" s="162"/>
      <c r="I268" s="162"/>
      <c r="J268" s="162"/>
      <c r="K268" s="162"/>
      <c r="L268" s="163"/>
      <c r="M268" s="163"/>
      <c r="N268" s="162"/>
      <c r="O268" s="162"/>
      <c r="P268" s="162"/>
      <c r="Q268" s="162"/>
      <c r="R268" s="162"/>
      <c r="S268" s="162"/>
      <c r="T268" s="162"/>
      <c r="U268" s="162"/>
      <c r="V268" s="162"/>
      <c r="W268" s="162"/>
      <c r="X268" s="162"/>
      <c r="Y268" s="162"/>
      <c r="Z268" s="162"/>
      <c r="AA268" s="162"/>
      <c r="AB268" s="162"/>
      <c r="AC268" s="162"/>
      <c r="AD268" s="162"/>
    </row>
    <row r="269" spans="1:30">
      <c r="A269" s="162"/>
      <c r="B269" s="162"/>
      <c r="C269" s="162"/>
      <c r="D269" s="162"/>
      <c r="E269" s="162"/>
      <c r="F269" s="162"/>
      <c r="G269" s="162"/>
      <c r="H269" s="372"/>
      <c r="I269" s="162"/>
      <c r="J269" s="162"/>
      <c r="K269" s="162"/>
      <c r="L269" s="163"/>
      <c r="M269" s="163"/>
      <c r="N269" s="162"/>
      <c r="O269" s="162"/>
      <c r="P269" s="162"/>
      <c r="Q269" s="162"/>
      <c r="R269" s="162"/>
      <c r="S269" s="162"/>
      <c r="T269" s="162"/>
      <c r="U269" s="162"/>
      <c r="V269" s="162"/>
      <c r="W269" s="162"/>
      <c r="X269" s="162"/>
      <c r="Y269" s="162"/>
      <c r="Z269" s="162"/>
      <c r="AA269" s="162"/>
      <c r="AB269" s="162"/>
      <c r="AC269" s="162"/>
      <c r="AD269" s="162"/>
    </row>
    <row r="270" spans="1:30">
      <c r="A270" s="183"/>
      <c r="B270" s="162"/>
      <c r="C270" s="162"/>
      <c r="D270" s="162"/>
      <c r="E270" s="162"/>
      <c r="F270" s="162"/>
      <c r="G270" s="162"/>
      <c r="H270" s="372"/>
      <c r="I270" s="162"/>
      <c r="J270" s="162"/>
      <c r="K270" s="162"/>
      <c r="L270" s="163"/>
      <c r="M270" s="163"/>
      <c r="N270" s="162"/>
      <c r="O270" s="162"/>
      <c r="P270" s="162"/>
      <c r="Q270" s="162"/>
      <c r="R270" s="162"/>
      <c r="S270" s="162"/>
      <c r="T270" s="162"/>
      <c r="U270" s="162"/>
      <c r="V270" s="162"/>
      <c r="W270" s="162"/>
      <c r="X270" s="162"/>
      <c r="Y270" s="162"/>
      <c r="Z270" s="162"/>
      <c r="AA270" s="162"/>
      <c r="AB270" s="162"/>
      <c r="AC270" s="162"/>
      <c r="AD270" s="162"/>
    </row>
    <row r="271" spans="1:30">
      <c r="A271" s="162"/>
      <c r="B271" s="162"/>
      <c r="C271" s="162"/>
      <c r="D271" s="162"/>
      <c r="E271" s="162"/>
      <c r="F271" s="162"/>
      <c r="G271" s="162"/>
      <c r="H271" s="162"/>
      <c r="I271" s="162"/>
      <c r="J271" s="162"/>
      <c r="K271" s="162"/>
      <c r="L271" s="163"/>
      <c r="M271" s="163"/>
      <c r="N271" s="162"/>
      <c r="O271" s="162"/>
      <c r="P271" s="162"/>
      <c r="Q271" s="162"/>
      <c r="R271" s="162"/>
      <c r="S271" s="162"/>
      <c r="T271" s="162"/>
      <c r="U271" s="162"/>
      <c r="V271" s="162"/>
      <c r="W271" s="162"/>
      <c r="X271" s="162"/>
      <c r="Y271" s="162"/>
      <c r="Z271" s="162"/>
      <c r="AA271" s="162"/>
      <c r="AB271" s="162"/>
      <c r="AC271" s="162"/>
      <c r="AD271" s="162"/>
    </row>
    <row r="272" spans="1:30">
      <c r="A272" s="162"/>
      <c r="B272" s="162"/>
      <c r="C272" s="162"/>
      <c r="D272" s="162"/>
      <c r="E272" s="162"/>
      <c r="F272" s="162"/>
      <c r="G272" s="162"/>
      <c r="H272" s="162"/>
      <c r="I272" s="162"/>
      <c r="J272" s="162"/>
      <c r="K272" s="162"/>
      <c r="L272" s="163"/>
      <c r="M272" s="163"/>
      <c r="N272" s="162"/>
      <c r="O272" s="162"/>
      <c r="P272" s="162"/>
      <c r="Q272" s="162"/>
      <c r="R272" s="162"/>
      <c r="S272" s="162"/>
      <c r="T272" s="162"/>
      <c r="U272" s="162"/>
      <c r="V272" s="162"/>
      <c r="W272" s="162"/>
      <c r="X272" s="162"/>
      <c r="Y272" s="162"/>
      <c r="Z272" s="162"/>
      <c r="AA272" s="162"/>
      <c r="AB272" s="162"/>
      <c r="AC272" s="162"/>
      <c r="AD272" s="162"/>
    </row>
    <row r="273" spans="1:30">
      <c r="A273" s="162"/>
      <c r="B273" s="162"/>
      <c r="C273" s="162"/>
      <c r="D273" s="162"/>
      <c r="E273" s="162"/>
      <c r="F273" s="162"/>
      <c r="G273" s="162"/>
      <c r="H273" s="162"/>
      <c r="I273" s="162"/>
      <c r="J273" s="162"/>
      <c r="K273" s="162"/>
      <c r="L273" s="163"/>
      <c r="M273" s="163"/>
      <c r="N273" s="162"/>
      <c r="O273" s="162"/>
      <c r="P273" s="162"/>
      <c r="Q273" s="162"/>
      <c r="R273" s="162"/>
      <c r="S273" s="162"/>
      <c r="T273" s="162"/>
      <c r="U273" s="162"/>
      <c r="V273" s="162"/>
      <c r="W273" s="162"/>
      <c r="X273" s="162"/>
      <c r="Y273" s="162"/>
      <c r="Z273" s="162"/>
      <c r="AA273" s="162"/>
      <c r="AB273" s="162"/>
      <c r="AC273" s="162"/>
      <c r="AD273" s="162"/>
    </row>
    <row r="274" spans="1:30">
      <c r="A274" s="162"/>
      <c r="B274" s="162"/>
      <c r="C274" s="162"/>
      <c r="D274" s="162"/>
      <c r="E274" s="162"/>
      <c r="F274" s="162"/>
      <c r="G274" s="162"/>
      <c r="H274" s="162"/>
      <c r="I274" s="162"/>
      <c r="J274" s="162"/>
      <c r="K274" s="162"/>
      <c r="L274" s="163"/>
      <c r="M274" s="163"/>
      <c r="N274" s="162"/>
      <c r="O274" s="162"/>
      <c r="P274" s="162"/>
      <c r="Q274" s="162"/>
      <c r="R274" s="162"/>
      <c r="S274" s="162"/>
      <c r="T274" s="162"/>
      <c r="U274" s="162"/>
      <c r="V274" s="162"/>
      <c r="W274" s="162"/>
      <c r="X274" s="162"/>
      <c r="Y274" s="162"/>
      <c r="Z274" s="162"/>
      <c r="AA274" s="162"/>
      <c r="AB274" s="162"/>
      <c r="AC274" s="162"/>
      <c r="AD274" s="162"/>
    </row>
    <row r="275" spans="1:30">
      <c r="A275" s="162"/>
      <c r="B275" s="162"/>
      <c r="C275" s="162"/>
      <c r="D275" s="162"/>
      <c r="E275" s="162"/>
      <c r="F275" s="162"/>
      <c r="G275" s="162"/>
      <c r="H275" s="162"/>
      <c r="I275" s="162"/>
      <c r="J275" s="162"/>
      <c r="K275" s="162"/>
      <c r="L275" s="163"/>
      <c r="M275" s="163"/>
      <c r="N275" s="162"/>
      <c r="O275" s="162"/>
      <c r="P275" s="162"/>
      <c r="Q275" s="162"/>
      <c r="R275" s="162"/>
      <c r="S275" s="162"/>
      <c r="T275" s="162"/>
      <c r="U275" s="162"/>
      <c r="V275" s="162"/>
      <c r="W275" s="162"/>
      <c r="X275" s="162"/>
      <c r="Y275" s="162"/>
      <c r="Z275" s="162"/>
      <c r="AA275" s="162"/>
      <c r="AB275" s="162"/>
      <c r="AC275" s="162"/>
      <c r="AD275" s="162"/>
    </row>
    <row r="276" spans="1:30">
      <c r="A276" s="162"/>
      <c r="B276" s="162"/>
      <c r="C276" s="162"/>
      <c r="D276" s="162"/>
      <c r="E276" s="162"/>
      <c r="F276" s="162"/>
      <c r="G276" s="162"/>
      <c r="H276" s="162"/>
      <c r="I276" s="162"/>
      <c r="J276" s="162"/>
      <c r="K276" s="162"/>
      <c r="L276" s="163"/>
      <c r="M276" s="163"/>
      <c r="N276" s="162"/>
      <c r="O276" s="162"/>
      <c r="P276" s="162"/>
      <c r="Q276" s="162"/>
      <c r="R276" s="162"/>
      <c r="S276" s="162"/>
      <c r="T276" s="162"/>
      <c r="U276" s="162"/>
      <c r="V276" s="162"/>
      <c r="W276" s="162"/>
      <c r="X276" s="162"/>
      <c r="Y276" s="162"/>
      <c r="Z276" s="162"/>
      <c r="AA276" s="162"/>
      <c r="AB276" s="162"/>
      <c r="AC276" s="162"/>
      <c r="AD276" s="162"/>
    </row>
    <row r="277" spans="1:30">
      <c r="A277" s="162"/>
      <c r="B277" s="162"/>
      <c r="C277" s="162"/>
      <c r="D277" s="162"/>
      <c r="E277" s="162"/>
      <c r="F277" s="162"/>
      <c r="G277" s="162"/>
      <c r="H277" s="162"/>
      <c r="I277" s="162"/>
      <c r="J277" s="162"/>
      <c r="K277" s="162"/>
      <c r="L277" s="163"/>
      <c r="M277" s="163"/>
      <c r="N277" s="162"/>
      <c r="O277" s="162"/>
      <c r="P277" s="162"/>
      <c r="Q277" s="162"/>
      <c r="R277" s="162"/>
      <c r="S277" s="162"/>
      <c r="T277" s="162"/>
      <c r="U277" s="162"/>
      <c r="V277" s="162"/>
      <c r="W277" s="162"/>
      <c r="X277" s="162"/>
      <c r="Y277" s="162"/>
      <c r="Z277" s="162"/>
      <c r="AA277" s="162"/>
      <c r="AB277" s="162"/>
      <c r="AC277" s="162"/>
      <c r="AD277" s="162"/>
    </row>
    <row r="278" spans="1:30">
      <c r="A278" s="162"/>
      <c r="B278" s="162"/>
      <c r="C278" s="162"/>
      <c r="D278" s="162"/>
      <c r="E278" s="162"/>
      <c r="F278" s="162"/>
      <c r="G278" s="162"/>
      <c r="H278" s="162"/>
      <c r="I278" s="162"/>
      <c r="J278" s="162"/>
      <c r="K278" s="162"/>
      <c r="L278" s="163"/>
      <c r="M278" s="163"/>
      <c r="N278" s="162"/>
      <c r="O278" s="162"/>
      <c r="P278" s="162"/>
      <c r="Q278" s="162"/>
      <c r="R278" s="162"/>
      <c r="S278" s="162"/>
      <c r="T278" s="162"/>
      <c r="U278" s="162"/>
      <c r="V278" s="162"/>
      <c r="W278" s="162"/>
      <c r="X278" s="162"/>
      <c r="Y278" s="162"/>
      <c r="Z278" s="162"/>
      <c r="AA278" s="162"/>
      <c r="AB278" s="162"/>
      <c r="AC278" s="162"/>
      <c r="AD278" s="162"/>
    </row>
    <row r="279" spans="1:30">
      <c r="A279" s="162"/>
      <c r="B279" s="162"/>
      <c r="C279" s="162"/>
      <c r="D279" s="162"/>
      <c r="E279" s="162"/>
      <c r="F279" s="162"/>
      <c r="G279" s="162"/>
      <c r="H279" s="162"/>
      <c r="I279" s="162"/>
      <c r="J279" s="162"/>
      <c r="K279" s="162"/>
      <c r="L279" s="163"/>
      <c r="M279" s="163"/>
      <c r="N279" s="162"/>
      <c r="O279" s="162"/>
      <c r="P279" s="162"/>
      <c r="Q279" s="162"/>
      <c r="R279" s="162"/>
      <c r="S279" s="162"/>
      <c r="T279" s="162"/>
      <c r="U279" s="162"/>
      <c r="V279" s="162"/>
      <c r="W279" s="162"/>
      <c r="X279" s="162"/>
      <c r="Y279" s="162"/>
      <c r="Z279" s="162"/>
      <c r="AA279" s="162"/>
      <c r="AB279" s="162"/>
      <c r="AC279" s="162"/>
      <c r="AD279" s="162"/>
    </row>
    <row r="280" spans="1:30">
      <c r="A280" s="162"/>
      <c r="B280" s="162"/>
      <c r="C280" s="162"/>
      <c r="D280" s="162"/>
      <c r="E280" s="162"/>
      <c r="F280" s="162"/>
      <c r="G280" s="162"/>
      <c r="H280" s="162"/>
      <c r="I280" s="162"/>
      <c r="J280" s="162"/>
      <c r="K280" s="162"/>
      <c r="L280" s="163"/>
      <c r="M280" s="163"/>
      <c r="N280" s="162"/>
      <c r="O280" s="162"/>
      <c r="P280" s="162"/>
      <c r="Q280" s="162"/>
      <c r="R280" s="162"/>
      <c r="S280" s="162"/>
      <c r="T280" s="162"/>
      <c r="U280" s="162"/>
      <c r="V280" s="162"/>
      <c r="W280" s="162"/>
      <c r="X280" s="162"/>
      <c r="Y280" s="162"/>
      <c r="Z280" s="162"/>
      <c r="AA280" s="162"/>
      <c r="AB280" s="162"/>
      <c r="AC280" s="162"/>
      <c r="AD280" s="162"/>
    </row>
    <row r="281" spans="1:30">
      <c r="A281" s="162"/>
      <c r="B281" s="162"/>
      <c r="C281" s="162"/>
      <c r="D281" s="162"/>
      <c r="E281" s="162"/>
      <c r="F281" s="162"/>
      <c r="G281" s="162"/>
      <c r="H281" s="162"/>
      <c r="I281" s="162"/>
      <c r="J281" s="162"/>
      <c r="K281" s="162"/>
      <c r="L281" s="163"/>
      <c r="M281" s="163"/>
      <c r="N281" s="162"/>
      <c r="O281" s="162"/>
      <c r="P281" s="162"/>
      <c r="Q281" s="162"/>
      <c r="R281" s="162"/>
      <c r="S281" s="162"/>
      <c r="T281" s="162"/>
      <c r="U281" s="162"/>
      <c r="V281" s="162"/>
      <c r="W281" s="162"/>
      <c r="X281" s="162"/>
      <c r="Y281" s="162"/>
      <c r="Z281" s="162"/>
      <c r="AA281" s="162"/>
      <c r="AB281" s="162"/>
      <c r="AC281" s="162"/>
      <c r="AD281" s="162"/>
    </row>
    <row r="282" spans="1:30">
      <c r="A282" s="162"/>
      <c r="B282" s="162"/>
      <c r="C282" s="162"/>
      <c r="D282" s="162"/>
      <c r="E282" s="162"/>
      <c r="F282" s="162"/>
      <c r="G282" s="162"/>
      <c r="H282" s="162"/>
      <c r="I282" s="162"/>
      <c r="J282" s="162"/>
      <c r="K282" s="162"/>
      <c r="L282" s="163"/>
      <c r="M282" s="163"/>
      <c r="N282" s="162"/>
      <c r="O282" s="162"/>
      <c r="P282" s="162"/>
      <c r="Q282" s="162"/>
      <c r="R282" s="162"/>
      <c r="S282" s="162"/>
      <c r="T282" s="162"/>
      <c r="U282" s="162"/>
      <c r="V282" s="162"/>
      <c r="W282" s="162"/>
      <c r="X282" s="162"/>
      <c r="Y282" s="162"/>
      <c r="Z282" s="162"/>
      <c r="AA282" s="162"/>
      <c r="AB282" s="162"/>
      <c r="AC282" s="162"/>
      <c r="AD282" s="162"/>
    </row>
    <row r="283" spans="1:30">
      <c r="A283" s="162"/>
      <c r="B283" s="162"/>
      <c r="C283" s="162"/>
      <c r="D283" s="162"/>
      <c r="E283" s="162"/>
      <c r="F283" s="162"/>
      <c r="G283" s="162"/>
      <c r="H283" s="162"/>
      <c r="I283" s="162"/>
      <c r="J283" s="162"/>
      <c r="K283" s="162"/>
      <c r="L283" s="163"/>
      <c r="M283" s="163"/>
      <c r="N283" s="162"/>
      <c r="O283" s="162"/>
      <c r="P283" s="162"/>
      <c r="Q283" s="162"/>
      <c r="R283" s="162"/>
      <c r="S283" s="162"/>
      <c r="T283" s="162"/>
      <c r="U283" s="162"/>
      <c r="V283" s="162"/>
      <c r="W283" s="162"/>
      <c r="X283" s="162"/>
      <c r="Y283" s="162"/>
      <c r="Z283" s="162"/>
      <c r="AA283" s="162"/>
      <c r="AB283" s="162"/>
      <c r="AC283" s="162"/>
      <c r="AD283" s="162"/>
    </row>
    <row r="284" spans="1:30">
      <c r="A284" s="162"/>
      <c r="B284" s="162"/>
      <c r="C284" s="162"/>
      <c r="D284" s="162"/>
      <c r="E284" s="162"/>
      <c r="F284" s="162"/>
      <c r="G284" s="162"/>
      <c r="H284" s="162"/>
      <c r="I284" s="162"/>
      <c r="J284" s="162"/>
      <c r="K284" s="162"/>
      <c r="L284" s="163"/>
      <c r="M284" s="163"/>
      <c r="N284" s="162"/>
      <c r="O284" s="162"/>
      <c r="P284" s="162"/>
      <c r="Q284" s="162"/>
      <c r="R284" s="162"/>
      <c r="S284" s="162"/>
      <c r="T284" s="162"/>
      <c r="U284" s="162"/>
      <c r="V284" s="162"/>
      <c r="W284" s="162"/>
      <c r="X284" s="162"/>
      <c r="Y284" s="162"/>
      <c r="Z284" s="162"/>
      <c r="AA284" s="162"/>
      <c r="AB284" s="162"/>
      <c r="AC284" s="162"/>
      <c r="AD284" s="162"/>
    </row>
    <row r="285" spans="1:30">
      <c r="A285" s="162"/>
      <c r="B285" s="162"/>
      <c r="C285" s="162"/>
      <c r="D285" s="162"/>
      <c r="E285" s="162"/>
      <c r="F285" s="162"/>
      <c r="G285" s="162"/>
      <c r="H285" s="162"/>
      <c r="I285" s="162"/>
      <c r="J285" s="162"/>
      <c r="K285" s="162"/>
      <c r="L285" s="163"/>
      <c r="M285" s="163"/>
      <c r="N285" s="162"/>
      <c r="O285" s="162"/>
      <c r="P285" s="162"/>
      <c r="Q285" s="162"/>
      <c r="R285" s="162"/>
      <c r="S285" s="162"/>
      <c r="T285" s="162"/>
      <c r="U285" s="162"/>
      <c r="V285" s="162"/>
      <c r="W285" s="162"/>
      <c r="X285" s="162"/>
      <c r="Y285" s="162"/>
      <c r="Z285" s="162"/>
      <c r="AA285" s="162"/>
      <c r="AB285" s="162"/>
      <c r="AC285" s="162"/>
      <c r="AD285" s="162"/>
    </row>
    <row r="286" spans="1:30">
      <c r="A286" s="162"/>
      <c r="B286" s="162"/>
      <c r="C286" s="162"/>
      <c r="D286" s="162"/>
      <c r="E286" s="162"/>
      <c r="F286" s="162"/>
      <c r="G286" s="162"/>
      <c r="H286" s="162"/>
      <c r="I286" s="162"/>
      <c r="J286" s="162"/>
      <c r="K286" s="162"/>
      <c r="L286" s="163"/>
      <c r="M286" s="163"/>
      <c r="N286" s="162"/>
      <c r="O286" s="162"/>
      <c r="P286" s="162"/>
      <c r="Q286" s="162"/>
      <c r="R286" s="162"/>
      <c r="S286" s="162"/>
      <c r="T286" s="162"/>
      <c r="U286" s="162"/>
      <c r="V286" s="162"/>
      <c r="W286" s="162"/>
      <c r="X286" s="162"/>
      <c r="Y286" s="162"/>
      <c r="Z286" s="162"/>
      <c r="AA286" s="162"/>
      <c r="AB286" s="162"/>
      <c r="AC286" s="162"/>
      <c r="AD286" s="162"/>
    </row>
    <row r="287" spans="1:30">
      <c r="A287" s="162"/>
      <c r="B287" s="162"/>
      <c r="C287" s="162"/>
      <c r="D287" s="162"/>
      <c r="E287" s="162"/>
      <c r="F287" s="162"/>
      <c r="G287" s="162"/>
      <c r="H287" s="162"/>
      <c r="I287" s="162"/>
      <c r="J287" s="162"/>
      <c r="K287" s="162"/>
      <c r="L287" s="163"/>
      <c r="M287" s="163"/>
      <c r="N287" s="162"/>
      <c r="O287" s="162"/>
      <c r="P287" s="162"/>
      <c r="Q287" s="162"/>
      <c r="R287" s="162"/>
      <c r="S287" s="162"/>
      <c r="T287" s="162"/>
      <c r="U287" s="162"/>
      <c r="V287" s="162"/>
      <c r="W287" s="162"/>
      <c r="X287" s="162"/>
      <c r="Y287" s="162"/>
      <c r="Z287" s="162"/>
      <c r="AA287" s="162"/>
      <c r="AB287" s="162"/>
      <c r="AC287" s="162"/>
      <c r="AD287" s="162"/>
    </row>
    <row r="288" spans="1:30">
      <c r="A288" s="162"/>
      <c r="B288" s="162"/>
      <c r="C288" s="162"/>
      <c r="D288" s="162"/>
      <c r="E288" s="162"/>
      <c r="F288" s="162"/>
      <c r="G288" s="162"/>
      <c r="H288" s="162"/>
      <c r="I288" s="162"/>
      <c r="J288" s="162"/>
      <c r="K288" s="162"/>
      <c r="L288" s="163"/>
      <c r="M288" s="163"/>
      <c r="N288" s="162"/>
      <c r="O288" s="162"/>
      <c r="P288" s="162"/>
      <c r="Q288" s="162"/>
      <c r="R288" s="162"/>
      <c r="S288" s="162"/>
      <c r="T288" s="162"/>
      <c r="U288" s="162"/>
      <c r="V288" s="162"/>
      <c r="W288" s="162"/>
      <c r="X288" s="162"/>
      <c r="Y288" s="162"/>
      <c r="Z288" s="162"/>
      <c r="AA288" s="162"/>
      <c r="AB288" s="162"/>
      <c r="AC288" s="162"/>
      <c r="AD288" s="162"/>
    </row>
    <row r="289" spans="1:30">
      <c r="A289" s="162"/>
      <c r="B289" s="162"/>
      <c r="C289" s="162"/>
      <c r="D289" s="162"/>
      <c r="E289" s="162"/>
      <c r="F289" s="162"/>
      <c r="G289" s="162"/>
      <c r="H289" s="162"/>
      <c r="I289" s="162"/>
      <c r="J289" s="162"/>
      <c r="K289" s="162"/>
      <c r="L289" s="163"/>
      <c r="M289" s="163"/>
      <c r="N289" s="162"/>
      <c r="O289" s="162"/>
      <c r="P289" s="162"/>
      <c r="Q289" s="162"/>
      <c r="R289" s="162"/>
      <c r="S289" s="162"/>
      <c r="T289" s="162"/>
      <c r="U289" s="162"/>
      <c r="V289" s="162"/>
      <c r="W289" s="162"/>
      <c r="X289" s="162"/>
      <c r="Y289" s="162"/>
      <c r="Z289" s="162"/>
      <c r="AA289" s="162"/>
      <c r="AB289" s="162"/>
      <c r="AC289" s="162"/>
      <c r="AD289" s="162"/>
    </row>
    <row r="290" spans="1:30">
      <c r="A290" s="162"/>
      <c r="B290" s="162"/>
      <c r="C290" s="162"/>
      <c r="D290" s="162"/>
      <c r="E290" s="162"/>
      <c r="F290" s="162"/>
      <c r="G290" s="162"/>
      <c r="H290" s="162"/>
      <c r="I290" s="162"/>
      <c r="J290" s="162"/>
      <c r="K290" s="162"/>
      <c r="L290" s="163"/>
      <c r="M290" s="163"/>
      <c r="N290" s="162"/>
      <c r="O290" s="162"/>
      <c r="P290" s="162"/>
      <c r="Q290" s="162"/>
      <c r="R290" s="162"/>
      <c r="S290" s="162"/>
      <c r="T290" s="162"/>
      <c r="U290" s="162"/>
      <c r="V290" s="162"/>
      <c r="W290" s="162"/>
      <c r="X290" s="162"/>
      <c r="Y290" s="162"/>
      <c r="Z290" s="162"/>
      <c r="AA290" s="162"/>
      <c r="AB290" s="162"/>
      <c r="AC290" s="162"/>
      <c r="AD290" s="162"/>
    </row>
    <row r="291" spans="1:30">
      <c r="A291" s="162"/>
      <c r="B291" s="162"/>
      <c r="C291" s="162"/>
      <c r="D291" s="162"/>
      <c r="E291" s="162"/>
      <c r="F291" s="162"/>
      <c r="G291" s="162"/>
      <c r="H291" s="162"/>
      <c r="I291" s="162"/>
      <c r="J291" s="162"/>
      <c r="K291" s="162"/>
      <c r="L291" s="163"/>
      <c r="M291" s="163"/>
      <c r="N291" s="162"/>
      <c r="O291" s="162"/>
      <c r="P291" s="162"/>
      <c r="Q291" s="162"/>
      <c r="R291" s="162"/>
      <c r="S291" s="162"/>
      <c r="T291" s="162"/>
      <c r="U291" s="162"/>
      <c r="V291" s="162"/>
      <c r="W291" s="162"/>
      <c r="X291" s="162"/>
      <c r="Y291" s="162"/>
      <c r="Z291" s="162"/>
      <c r="AA291" s="162"/>
      <c r="AB291" s="162"/>
      <c r="AC291" s="162"/>
      <c r="AD291" s="162"/>
    </row>
    <row r="292" spans="1:30">
      <c r="A292" s="162"/>
      <c r="B292" s="162"/>
      <c r="C292" s="162"/>
      <c r="D292" s="162"/>
      <c r="E292" s="162"/>
      <c r="F292" s="162"/>
      <c r="G292" s="162"/>
      <c r="H292" s="162"/>
      <c r="I292" s="162"/>
      <c r="J292" s="162"/>
      <c r="K292" s="162"/>
      <c r="L292" s="163"/>
      <c r="M292" s="163"/>
      <c r="N292" s="162"/>
      <c r="O292" s="162"/>
      <c r="P292" s="162"/>
      <c r="Q292" s="162"/>
      <c r="R292" s="162"/>
      <c r="S292" s="162"/>
      <c r="T292" s="162"/>
      <c r="U292" s="162"/>
      <c r="V292" s="162"/>
      <c r="W292" s="162"/>
      <c r="X292" s="162"/>
      <c r="Y292" s="162"/>
      <c r="Z292" s="162"/>
      <c r="AA292" s="162"/>
      <c r="AB292" s="162"/>
      <c r="AC292" s="162"/>
      <c r="AD292" s="162"/>
    </row>
    <row r="293" spans="1:30">
      <c r="A293" s="162"/>
      <c r="B293" s="162"/>
      <c r="C293" s="162"/>
      <c r="D293" s="162"/>
      <c r="E293" s="162"/>
      <c r="F293" s="162"/>
      <c r="G293" s="162"/>
      <c r="H293" s="162"/>
      <c r="I293" s="162"/>
      <c r="J293" s="162"/>
      <c r="K293" s="162"/>
      <c r="L293" s="163"/>
      <c r="M293" s="163"/>
      <c r="N293" s="162"/>
      <c r="O293" s="162"/>
      <c r="P293" s="162"/>
      <c r="Q293" s="162"/>
      <c r="R293" s="162"/>
      <c r="S293" s="162"/>
      <c r="T293" s="162"/>
      <c r="U293" s="162"/>
      <c r="V293" s="162"/>
      <c r="W293" s="162"/>
      <c r="X293" s="162"/>
      <c r="Y293" s="162"/>
      <c r="Z293" s="162"/>
      <c r="AA293" s="162"/>
      <c r="AB293" s="162"/>
      <c r="AC293" s="162"/>
      <c r="AD293" s="162"/>
    </row>
    <row r="294" spans="1:30">
      <c r="A294" s="162"/>
      <c r="B294" s="162"/>
      <c r="C294" s="162"/>
      <c r="D294" s="162"/>
      <c r="E294" s="162"/>
      <c r="F294" s="162"/>
      <c r="G294" s="162"/>
      <c r="H294" s="162"/>
      <c r="I294" s="162"/>
      <c r="J294" s="162"/>
      <c r="K294" s="162"/>
      <c r="L294" s="163"/>
      <c r="M294" s="163"/>
      <c r="N294" s="162"/>
      <c r="O294" s="162"/>
      <c r="P294" s="162"/>
      <c r="Q294" s="162"/>
      <c r="R294" s="162"/>
      <c r="S294" s="162"/>
      <c r="T294" s="162"/>
      <c r="U294" s="162"/>
      <c r="V294" s="162"/>
      <c r="W294" s="162"/>
      <c r="X294" s="162"/>
      <c r="Y294" s="162"/>
      <c r="Z294" s="162"/>
      <c r="AA294" s="162"/>
      <c r="AB294" s="162"/>
      <c r="AC294" s="162"/>
      <c r="AD294" s="162"/>
    </row>
    <row r="295" spans="1:30">
      <c r="A295" s="162"/>
      <c r="B295" s="162"/>
      <c r="C295" s="162"/>
      <c r="D295" s="162"/>
      <c r="E295" s="162"/>
      <c r="F295" s="162"/>
      <c r="G295" s="162"/>
      <c r="H295" s="162"/>
      <c r="I295" s="162"/>
      <c r="J295" s="162"/>
      <c r="K295" s="162"/>
      <c r="L295" s="163"/>
      <c r="M295" s="163"/>
      <c r="N295" s="162"/>
      <c r="O295" s="162"/>
      <c r="P295" s="162"/>
      <c r="Q295" s="162"/>
      <c r="R295" s="162"/>
      <c r="S295" s="162"/>
      <c r="T295" s="162"/>
      <c r="U295" s="162"/>
      <c r="V295" s="162"/>
      <c r="W295" s="162"/>
      <c r="X295" s="162"/>
      <c r="Y295" s="162"/>
      <c r="Z295" s="162"/>
      <c r="AA295" s="162"/>
      <c r="AB295" s="162"/>
      <c r="AC295" s="162"/>
      <c r="AD295" s="162"/>
    </row>
    <row r="296" spans="1:30">
      <c r="A296" s="162"/>
      <c r="B296" s="162"/>
      <c r="C296" s="162"/>
      <c r="D296" s="162"/>
      <c r="E296" s="162"/>
      <c r="F296" s="162"/>
      <c r="G296" s="162"/>
      <c r="H296" s="162"/>
      <c r="I296" s="162"/>
      <c r="J296" s="162"/>
      <c r="K296" s="162"/>
      <c r="L296" s="163"/>
      <c r="M296" s="163"/>
      <c r="N296" s="162"/>
      <c r="O296" s="162"/>
      <c r="P296" s="162"/>
      <c r="Q296" s="162"/>
      <c r="R296" s="162"/>
      <c r="S296" s="162"/>
      <c r="T296" s="162"/>
      <c r="U296" s="162"/>
      <c r="V296" s="162"/>
      <c r="W296" s="162"/>
      <c r="X296" s="162"/>
      <c r="Y296" s="162"/>
      <c r="Z296" s="162"/>
      <c r="AA296" s="162"/>
      <c r="AB296" s="162"/>
      <c r="AC296" s="162"/>
      <c r="AD296" s="162"/>
    </row>
    <row r="297" spans="1:30">
      <c r="A297" s="162"/>
      <c r="B297" s="162"/>
      <c r="C297" s="162"/>
      <c r="D297" s="162"/>
      <c r="E297" s="162"/>
      <c r="F297" s="162"/>
      <c r="G297" s="162"/>
      <c r="H297" s="162"/>
      <c r="I297" s="162"/>
      <c r="J297" s="162"/>
      <c r="K297" s="162"/>
      <c r="L297" s="163"/>
      <c r="M297" s="163"/>
      <c r="N297" s="162"/>
      <c r="O297" s="162"/>
      <c r="P297" s="162"/>
      <c r="Q297" s="162"/>
      <c r="R297" s="162"/>
      <c r="S297" s="162"/>
      <c r="T297" s="162"/>
      <c r="U297" s="162"/>
      <c r="V297" s="162"/>
      <c r="W297" s="162"/>
      <c r="X297" s="162"/>
      <c r="Y297" s="162"/>
      <c r="Z297" s="162"/>
      <c r="AA297" s="162"/>
      <c r="AB297" s="162"/>
      <c r="AC297" s="162"/>
      <c r="AD297" s="162"/>
    </row>
    <row r="298" spans="1:30">
      <c r="A298" s="162"/>
      <c r="B298" s="162"/>
      <c r="C298" s="162"/>
      <c r="D298" s="162"/>
      <c r="E298" s="162"/>
      <c r="F298" s="162"/>
      <c r="G298" s="162"/>
      <c r="H298" s="162"/>
      <c r="I298" s="162"/>
      <c r="J298" s="162"/>
      <c r="K298" s="162"/>
      <c r="L298" s="163"/>
      <c r="M298" s="163"/>
      <c r="N298" s="162"/>
      <c r="O298" s="162"/>
      <c r="P298" s="162"/>
      <c r="Q298" s="162"/>
      <c r="R298" s="162"/>
      <c r="S298" s="162"/>
      <c r="T298" s="162"/>
      <c r="U298" s="162"/>
      <c r="V298" s="162"/>
      <c r="W298" s="162"/>
      <c r="X298" s="162"/>
      <c r="Y298" s="162"/>
      <c r="Z298" s="162"/>
      <c r="AA298" s="162"/>
      <c r="AB298" s="162"/>
      <c r="AC298" s="162"/>
      <c r="AD298" s="162"/>
    </row>
    <row r="299" spans="1:30">
      <c r="A299" s="162"/>
      <c r="B299" s="162"/>
      <c r="C299" s="162"/>
      <c r="D299" s="162"/>
      <c r="E299" s="162"/>
      <c r="F299" s="162"/>
      <c r="G299" s="162"/>
      <c r="H299" s="162"/>
      <c r="I299" s="162"/>
      <c r="J299" s="162"/>
      <c r="K299" s="162"/>
      <c r="L299" s="163"/>
      <c r="M299" s="163"/>
      <c r="N299" s="162"/>
      <c r="O299" s="162"/>
      <c r="P299" s="162"/>
      <c r="Q299" s="162"/>
      <c r="R299" s="162"/>
      <c r="S299" s="162"/>
      <c r="T299" s="162"/>
      <c r="U299" s="162"/>
      <c r="V299" s="162"/>
      <c r="W299" s="162"/>
      <c r="X299" s="162"/>
      <c r="Y299" s="162"/>
      <c r="Z299" s="162"/>
      <c r="AA299" s="162"/>
      <c r="AB299" s="162"/>
      <c r="AC299" s="162"/>
      <c r="AD299" s="162"/>
    </row>
    <row r="300" spans="1:30">
      <c r="A300" s="162"/>
      <c r="B300" s="162"/>
      <c r="C300" s="162"/>
      <c r="D300" s="162"/>
      <c r="E300" s="162"/>
      <c r="F300" s="162"/>
      <c r="G300" s="162"/>
      <c r="H300" s="162"/>
      <c r="I300" s="162"/>
      <c r="J300" s="162"/>
      <c r="K300" s="162"/>
      <c r="L300" s="163"/>
      <c r="M300" s="163"/>
      <c r="N300" s="162"/>
      <c r="O300" s="162"/>
      <c r="P300" s="162"/>
      <c r="Q300" s="162"/>
      <c r="R300" s="162"/>
      <c r="S300" s="162"/>
      <c r="T300" s="162"/>
      <c r="U300" s="162"/>
      <c r="V300" s="162"/>
      <c r="W300" s="162"/>
      <c r="X300" s="162"/>
      <c r="Y300" s="162"/>
      <c r="Z300" s="162"/>
      <c r="AA300" s="162"/>
      <c r="AB300" s="162"/>
      <c r="AC300" s="162"/>
      <c r="AD300" s="162"/>
    </row>
    <row r="301" spans="1:30">
      <c r="A301" s="162"/>
      <c r="B301" s="162"/>
      <c r="C301" s="162"/>
      <c r="D301" s="162"/>
      <c r="E301" s="162"/>
      <c r="F301" s="162"/>
      <c r="G301" s="162"/>
      <c r="H301" s="162"/>
      <c r="I301" s="162"/>
      <c r="J301" s="162"/>
      <c r="K301" s="162"/>
      <c r="L301" s="163"/>
      <c r="M301" s="163"/>
      <c r="N301" s="162"/>
      <c r="O301" s="162"/>
      <c r="P301" s="162"/>
      <c r="Q301" s="162"/>
      <c r="R301" s="162"/>
      <c r="S301" s="162"/>
      <c r="T301" s="162"/>
      <c r="U301" s="162"/>
      <c r="V301" s="162"/>
      <c r="W301" s="162"/>
      <c r="X301" s="162"/>
      <c r="Y301" s="162"/>
      <c r="Z301" s="162"/>
      <c r="AA301" s="162"/>
      <c r="AB301" s="162"/>
      <c r="AC301" s="162"/>
      <c r="AD301" s="162"/>
    </row>
    <row r="302" spans="1:30">
      <c r="A302" s="162"/>
      <c r="B302" s="162"/>
      <c r="C302" s="162"/>
      <c r="D302" s="162"/>
      <c r="E302" s="162"/>
      <c r="F302" s="162"/>
      <c r="G302" s="162"/>
      <c r="H302" s="162"/>
      <c r="I302" s="162"/>
      <c r="J302" s="162"/>
      <c r="K302" s="162"/>
      <c r="L302" s="163"/>
      <c r="M302" s="163"/>
      <c r="N302" s="162"/>
      <c r="O302" s="162"/>
      <c r="P302" s="162"/>
      <c r="Q302" s="162"/>
      <c r="R302" s="162"/>
      <c r="S302" s="162"/>
      <c r="T302" s="162"/>
      <c r="U302" s="162"/>
      <c r="V302" s="162"/>
      <c r="W302" s="162"/>
      <c r="X302" s="162"/>
      <c r="Y302" s="162"/>
      <c r="Z302" s="162"/>
      <c r="AA302" s="162"/>
      <c r="AB302" s="162"/>
      <c r="AC302" s="162"/>
      <c r="AD302" s="162"/>
    </row>
    <row r="303" spans="1:30">
      <c r="A303" s="162"/>
      <c r="B303" s="162"/>
      <c r="C303" s="162"/>
      <c r="D303" s="162"/>
      <c r="E303" s="162"/>
      <c r="F303" s="162"/>
      <c r="G303" s="162"/>
      <c r="H303" s="162"/>
      <c r="I303" s="162"/>
      <c r="J303" s="162"/>
      <c r="K303" s="162"/>
      <c r="L303" s="163"/>
      <c r="M303" s="163"/>
      <c r="N303" s="162"/>
      <c r="O303" s="162"/>
      <c r="P303" s="162"/>
      <c r="Q303" s="162"/>
      <c r="R303" s="162"/>
      <c r="S303" s="162"/>
      <c r="T303" s="162"/>
      <c r="U303" s="162"/>
      <c r="V303" s="162"/>
      <c r="W303" s="162"/>
      <c r="X303" s="162"/>
      <c r="Y303" s="162"/>
      <c r="Z303" s="162"/>
      <c r="AA303" s="162"/>
      <c r="AB303" s="162"/>
      <c r="AC303" s="162"/>
      <c r="AD303" s="162"/>
    </row>
    <row r="304" spans="1:30">
      <c r="A304" s="162"/>
      <c r="B304" s="162"/>
      <c r="C304" s="162"/>
      <c r="D304" s="162"/>
      <c r="E304" s="162"/>
      <c r="F304" s="162"/>
      <c r="G304" s="162"/>
      <c r="H304" s="162"/>
      <c r="I304" s="162"/>
      <c r="J304" s="162"/>
      <c r="K304" s="162"/>
      <c r="L304" s="163"/>
      <c r="M304" s="163"/>
      <c r="N304" s="162"/>
      <c r="O304" s="162"/>
      <c r="P304" s="162"/>
      <c r="Q304" s="162"/>
      <c r="R304" s="162"/>
      <c r="S304" s="162"/>
      <c r="T304" s="162"/>
      <c r="U304" s="162"/>
      <c r="V304" s="162"/>
      <c r="W304" s="162"/>
      <c r="X304" s="162"/>
      <c r="Y304" s="162"/>
      <c r="Z304" s="162"/>
      <c r="AA304" s="162"/>
      <c r="AB304" s="162"/>
      <c r="AC304" s="162"/>
      <c r="AD304" s="162"/>
    </row>
    <row r="305" spans="1:30">
      <c r="A305" s="162"/>
      <c r="B305" s="162"/>
      <c r="C305" s="162"/>
      <c r="D305" s="162"/>
      <c r="E305" s="162"/>
      <c r="F305" s="162"/>
      <c r="G305" s="162"/>
      <c r="H305" s="162"/>
      <c r="I305" s="162"/>
      <c r="J305" s="162"/>
      <c r="K305" s="162"/>
      <c r="L305" s="163"/>
      <c r="M305" s="163"/>
      <c r="N305" s="162"/>
      <c r="O305" s="162"/>
      <c r="P305" s="162"/>
      <c r="Q305" s="162"/>
      <c r="R305" s="162"/>
      <c r="S305" s="162"/>
      <c r="T305" s="162"/>
      <c r="U305" s="162"/>
      <c r="V305" s="162"/>
      <c r="W305" s="162"/>
      <c r="X305" s="162"/>
      <c r="Y305" s="162"/>
      <c r="Z305" s="162"/>
      <c r="AA305" s="162"/>
      <c r="AB305" s="162"/>
      <c r="AC305" s="162"/>
      <c r="AD305" s="162"/>
    </row>
  </sheetData>
  <mergeCells count="14">
    <mergeCell ref="A263:B263"/>
    <mergeCell ref="A264:B264"/>
    <mergeCell ref="A260:B260"/>
    <mergeCell ref="A261:B261"/>
    <mergeCell ref="A262:B262"/>
    <mergeCell ref="A12:F13"/>
    <mergeCell ref="A259:B259"/>
    <mergeCell ref="A252:B252"/>
    <mergeCell ref="A253:B253"/>
    <mergeCell ref="A254:B254"/>
    <mergeCell ref="A255:B255"/>
    <mergeCell ref="A256:B256"/>
    <mergeCell ref="A257:B257"/>
    <mergeCell ref="A258:B258"/>
  </mergeCells>
  <phoneticPr fontId="11" type="noConversion"/>
  <dataValidations count="3">
    <dataValidation type="list" allowBlank="1" showInputMessage="1" showErrorMessage="1" sqref="C153:C201" xr:uid="{00000000-0002-0000-0B00-000000000000}">
      <formula1>BizTravel_PassMiles</formula1>
    </dataValidation>
    <dataValidation type="list" allowBlank="1" showInputMessage="1" showErrorMessage="1" sqref="C17:C148" xr:uid="{00000000-0002-0000-0B00-000001000000}">
      <formula1>BizTravel_Vehicle</formula1>
    </dataValidation>
    <dataValidation type="list" allowBlank="1" showInputMessage="1" showErrorMessage="1" sqref="C206:C246" xr:uid="{00000000-0002-0000-0B00-000002000000}">
      <formula1>BizTravel_Air</formula1>
    </dataValidation>
  </dataValidations>
  <pageMargins left="0.25" right="0.25" top="0.25" bottom="0.5" header="0.5" footer="0.25"/>
  <pageSetup scale="81" orientation="portrait" r:id="rId1"/>
  <headerFooter alignWithMargins="0">
    <oddFooter>&amp;L&amp;"Arial,Italic"&amp;9EPA Climate Leaders Simplified GHG Emissions Calculator (Optional 1.0)&amp;R&amp;"Arial,Italic"&amp;9&amp;P of &amp;N</oddFooter>
  </headerFooter>
  <rowBreaks count="1" manualBreakCount="1">
    <brk id="149" max="16383" man="1"/>
  </rowBreaks>
  <colBreaks count="1" manualBreakCount="1">
    <brk id="8"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AD199"/>
  <sheetViews>
    <sheetView topLeftCell="A4" zoomScale="80" zoomScaleNormal="80" workbookViewId="0"/>
  </sheetViews>
  <sheetFormatPr defaultColWidth="8.85546875" defaultRowHeight="12.75"/>
  <cols>
    <col min="1" max="1" width="10.42578125" customWidth="1"/>
    <col min="2" max="2" width="18" customWidth="1"/>
    <col min="3" max="3" width="34.85546875" customWidth="1"/>
    <col min="4" max="4" width="12.85546875" customWidth="1"/>
    <col min="5" max="5" width="13" customWidth="1"/>
    <col min="6" max="6" width="14.140625" customWidth="1"/>
    <col min="7" max="7" width="17.42578125" customWidth="1"/>
    <col min="8" max="11" width="9.140625" customWidth="1"/>
    <col min="12" max="13" width="9.140625" style="124" customWidth="1"/>
  </cols>
  <sheetData>
    <row r="1" spans="1:30"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row>
    <row r="2" spans="1:30"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row>
    <row r="3" spans="1:30" ht="15">
      <c r="A3" s="5" t="s">
        <v>1044</v>
      </c>
      <c r="B3" s="4"/>
      <c r="C3" s="4"/>
      <c r="D3" s="4"/>
      <c r="E3" s="4"/>
      <c r="F3" s="4"/>
      <c r="G3" s="4"/>
      <c r="H3" s="162"/>
      <c r="I3" s="162"/>
      <c r="J3" s="162"/>
      <c r="K3" s="162"/>
      <c r="L3" s="163"/>
      <c r="M3" s="163"/>
      <c r="N3" s="162"/>
      <c r="O3" s="162"/>
      <c r="P3" s="162"/>
      <c r="Q3" s="162"/>
      <c r="R3" s="162"/>
      <c r="S3" s="162"/>
      <c r="T3" s="162"/>
      <c r="U3" s="162"/>
      <c r="V3" s="162"/>
      <c r="W3" s="162"/>
      <c r="X3" s="162"/>
      <c r="Y3" s="162"/>
      <c r="Z3" s="162"/>
      <c r="AA3" s="162"/>
      <c r="AB3" s="162"/>
      <c r="AC3" s="162"/>
      <c r="AD3" s="162"/>
    </row>
    <row r="4" spans="1:30">
      <c r="A4" s="4"/>
      <c r="B4" s="4"/>
      <c r="C4" s="4"/>
      <c r="D4" s="4"/>
      <c r="E4" s="4"/>
      <c r="F4" s="4"/>
      <c r="G4" s="4"/>
      <c r="H4" s="162"/>
      <c r="I4" s="162"/>
      <c r="J4" s="162"/>
      <c r="K4" s="162"/>
      <c r="L4" s="163"/>
      <c r="M4" s="163"/>
      <c r="N4" s="162"/>
      <c r="O4" s="162"/>
      <c r="P4" s="162"/>
      <c r="Q4" s="162"/>
      <c r="R4" s="162"/>
      <c r="S4" s="162"/>
      <c r="T4" s="162"/>
      <c r="U4" s="162"/>
      <c r="V4" s="162"/>
      <c r="W4" s="162"/>
      <c r="X4" s="162"/>
      <c r="Y4" s="162"/>
      <c r="Z4" s="162"/>
      <c r="AA4" s="162"/>
      <c r="AB4" s="162"/>
      <c r="AC4" s="162"/>
      <c r="AD4" s="162"/>
    </row>
    <row r="5" spans="1:30">
      <c r="A5" s="161" t="s">
        <v>293</v>
      </c>
      <c r="B5" s="162"/>
      <c r="C5" s="162"/>
      <c r="D5" s="162"/>
      <c r="E5" s="162"/>
      <c r="F5" s="162"/>
      <c r="G5" s="162"/>
      <c r="H5" s="162"/>
      <c r="I5" s="162"/>
      <c r="J5" s="162"/>
      <c r="K5" s="162"/>
      <c r="L5" s="162"/>
      <c r="M5" s="163"/>
      <c r="N5" s="163"/>
      <c r="O5" s="162"/>
      <c r="P5" s="162"/>
      <c r="Q5" s="162"/>
      <c r="R5" s="162"/>
      <c r="S5" s="162"/>
      <c r="T5" s="162"/>
      <c r="U5" s="162"/>
      <c r="V5" s="162"/>
      <c r="W5" s="162"/>
      <c r="X5" s="162"/>
      <c r="Y5" s="162"/>
      <c r="Z5" s="162"/>
      <c r="AA5" s="162"/>
      <c r="AB5" s="162"/>
      <c r="AC5" s="162"/>
      <c r="AD5" s="162"/>
    </row>
    <row r="6" spans="1:30">
      <c r="A6" s="219" t="s">
        <v>712</v>
      </c>
      <c r="B6" s="162"/>
      <c r="C6" s="162"/>
      <c r="D6" s="162"/>
      <c r="E6" s="162"/>
      <c r="F6" s="162"/>
      <c r="G6" s="162"/>
      <c r="H6" s="162"/>
      <c r="I6" s="162"/>
      <c r="J6" s="162"/>
      <c r="K6" s="162"/>
      <c r="L6" s="162"/>
      <c r="M6" s="163"/>
      <c r="N6" s="163"/>
      <c r="O6" s="162"/>
      <c r="P6" s="162"/>
      <c r="Q6" s="162"/>
      <c r="R6" s="162"/>
      <c r="S6" s="162"/>
      <c r="T6" s="162"/>
      <c r="U6" s="162"/>
      <c r="V6" s="162"/>
      <c r="W6" s="162"/>
      <c r="X6" s="162"/>
      <c r="Y6" s="162"/>
      <c r="Z6" s="162"/>
      <c r="AA6" s="162"/>
      <c r="AB6" s="162"/>
      <c r="AC6" s="162"/>
      <c r="AD6" s="162"/>
    </row>
    <row r="7" spans="1:30">
      <c r="A7" s="831" t="s">
        <v>606</v>
      </c>
      <c r="B7" s="4"/>
      <c r="C7" s="4"/>
      <c r="D7" s="4"/>
      <c r="E7" s="4"/>
      <c r="F7" s="4"/>
      <c r="G7" s="4"/>
      <c r="H7" s="162"/>
      <c r="I7" s="162"/>
      <c r="J7" s="162"/>
      <c r="K7" s="162"/>
      <c r="L7" s="163"/>
      <c r="M7" s="163"/>
      <c r="N7" s="162"/>
      <c r="O7" s="162"/>
      <c r="P7" s="162"/>
      <c r="Q7" s="162"/>
      <c r="R7" s="162"/>
      <c r="S7" s="162"/>
      <c r="T7" s="162"/>
      <c r="U7" s="162"/>
      <c r="V7" s="162"/>
      <c r="W7" s="162"/>
      <c r="X7" s="162"/>
      <c r="Y7" s="162"/>
      <c r="Z7" s="162"/>
      <c r="AA7" s="162"/>
      <c r="AB7" s="162"/>
      <c r="AC7" s="162"/>
      <c r="AD7" s="162"/>
    </row>
    <row r="8" spans="1:30">
      <c r="A8" s="831" t="s">
        <v>1262</v>
      </c>
      <c r="B8" s="4"/>
      <c r="C8" s="4"/>
      <c r="D8" s="4"/>
      <c r="E8" s="4"/>
      <c r="F8" s="4"/>
      <c r="G8" s="4"/>
      <c r="H8" s="162"/>
      <c r="I8" s="162"/>
      <c r="J8" s="162"/>
      <c r="K8" s="162"/>
      <c r="L8" s="163"/>
      <c r="M8" s="163"/>
      <c r="N8" s="162"/>
      <c r="O8" s="162"/>
      <c r="P8" s="162"/>
      <c r="Q8" s="162"/>
      <c r="R8" s="162"/>
      <c r="S8" s="162"/>
      <c r="T8" s="162"/>
      <c r="U8" s="162"/>
      <c r="V8" s="162"/>
      <c r="W8" s="162"/>
      <c r="X8" s="162"/>
      <c r="Y8" s="162"/>
      <c r="Z8" s="162"/>
      <c r="AA8" s="162"/>
      <c r="AB8" s="162"/>
      <c r="AC8" s="162"/>
      <c r="AD8" s="162"/>
    </row>
    <row r="9" spans="1:30">
      <c r="A9" s="219"/>
      <c r="B9" s="4"/>
      <c r="C9" s="4"/>
      <c r="D9" s="4"/>
      <c r="E9" s="4"/>
      <c r="F9" s="4"/>
      <c r="G9" s="4"/>
      <c r="H9" s="162"/>
      <c r="I9" s="162"/>
      <c r="J9" s="162"/>
      <c r="K9" s="162"/>
      <c r="L9" s="163"/>
      <c r="M9" s="163"/>
      <c r="N9" s="162"/>
      <c r="O9" s="162"/>
      <c r="P9" s="162"/>
      <c r="Q9" s="162"/>
      <c r="R9" s="162"/>
      <c r="S9" s="162"/>
      <c r="T9" s="162"/>
      <c r="U9" s="162"/>
      <c r="V9" s="162"/>
      <c r="W9" s="162"/>
      <c r="X9" s="162"/>
      <c r="Y9" s="162"/>
      <c r="Z9" s="162"/>
      <c r="AA9" s="162"/>
      <c r="AB9" s="162"/>
      <c r="AC9" s="162"/>
      <c r="AD9" s="162"/>
    </row>
    <row r="10" spans="1:30">
      <c r="A10" s="228" t="s">
        <v>603</v>
      </c>
      <c r="B10" s="4"/>
      <c r="C10" s="4"/>
      <c r="D10" s="4"/>
      <c r="E10" s="4"/>
      <c r="F10" s="4"/>
      <c r="G10" s="4"/>
      <c r="H10" s="162"/>
      <c r="I10" s="162"/>
      <c r="J10" s="162"/>
      <c r="K10" s="162"/>
      <c r="L10" s="163"/>
      <c r="M10" s="163"/>
      <c r="N10" s="162"/>
      <c r="O10" s="162"/>
      <c r="P10" s="162"/>
      <c r="Q10" s="162"/>
      <c r="R10" s="162"/>
      <c r="S10" s="162"/>
      <c r="T10" s="162"/>
      <c r="U10" s="162"/>
      <c r="V10" s="162"/>
      <c r="W10" s="162"/>
      <c r="X10" s="162"/>
      <c r="Y10" s="162"/>
      <c r="Z10" s="162"/>
      <c r="AA10" s="162"/>
      <c r="AB10" s="162"/>
      <c r="AC10" s="162"/>
      <c r="AD10" s="162"/>
    </row>
    <row r="11" spans="1:30">
      <c r="A11" s="4"/>
      <c r="B11" s="4"/>
      <c r="C11" s="9"/>
      <c r="D11" s="4"/>
      <c r="E11" s="4"/>
      <c r="F11" s="4"/>
      <c r="G11" s="4"/>
      <c r="H11" s="162"/>
      <c r="I11" s="162"/>
      <c r="J11" s="162"/>
      <c r="K11" s="162"/>
      <c r="L11" s="163"/>
      <c r="M11" s="163"/>
      <c r="N11" s="162"/>
      <c r="O11" s="162"/>
      <c r="P11" s="162"/>
      <c r="Q11" s="162"/>
      <c r="R11" s="162"/>
      <c r="S11" s="162"/>
      <c r="T11" s="162"/>
      <c r="U11" s="162"/>
      <c r="V11" s="162"/>
      <c r="W11" s="162"/>
      <c r="X11" s="162"/>
      <c r="Y11" s="162"/>
      <c r="Z11" s="162"/>
      <c r="AA11" s="162"/>
      <c r="AB11" s="162"/>
      <c r="AC11" s="162"/>
      <c r="AD11" s="162"/>
    </row>
    <row r="12" spans="1:30" ht="15" thickBot="1">
      <c r="A12" s="7" t="s">
        <v>436</v>
      </c>
      <c r="B12" s="4"/>
      <c r="C12" s="4"/>
      <c r="D12" s="4"/>
      <c r="E12" s="4"/>
      <c r="F12" s="4"/>
      <c r="G12" s="4"/>
      <c r="H12" s="162"/>
      <c r="I12" s="162"/>
      <c r="J12" s="162"/>
      <c r="K12" s="162"/>
      <c r="L12" s="163"/>
      <c r="M12" s="163"/>
      <c r="N12" s="162"/>
      <c r="O12" s="162"/>
      <c r="P12" s="162"/>
      <c r="Q12" s="162"/>
      <c r="R12" s="162"/>
      <c r="S12" s="162"/>
      <c r="T12" s="162"/>
      <c r="U12" s="162"/>
      <c r="V12" s="162"/>
      <c r="W12" s="162"/>
      <c r="X12" s="162"/>
      <c r="Y12" s="162"/>
      <c r="Z12" s="162"/>
      <c r="AA12" s="162"/>
      <c r="AB12" s="162"/>
      <c r="AC12" s="162"/>
      <c r="AD12" s="162"/>
    </row>
    <row r="13" spans="1:30" ht="27.95" customHeight="1" thickBot="1">
      <c r="A13" s="687" t="s">
        <v>284</v>
      </c>
      <c r="B13" s="688" t="s">
        <v>0</v>
      </c>
      <c r="C13" s="688" t="s">
        <v>135</v>
      </c>
      <c r="D13" s="663" t="s">
        <v>303</v>
      </c>
      <c r="E13" s="663" t="s">
        <v>285</v>
      </c>
      <c r="F13" s="663" t="s">
        <v>297</v>
      </c>
      <c r="G13" s="668" t="s">
        <v>1360</v>
      </c>
      <c r="H13" s="162"/>
      <c r="I13" s="162"/>
      <c r="J13" s="162"/>
      <c r="K13" s="162"/>
      <c r="L13" s="163"/>
      <c r="M13" s="163"/>
      <c r="N13" s="162"/>
      <c r="O13" s="162"/>
      <c r="P13" s="162"/>
      <c r="Q13" s="162"/>
      <c r="R13" s="162"/>
      <c r="S13" s="162"/>
      <c r="T13" s="162"/>
      <c r="U13" s="162"/>
      <c r="V13" s="162"/>
      <c r="W13" s="162"/>
      <c r="X13" s="162"/>
      <c r="Y13" s="162"/>
      <c r="Z13" s="162"/>
      <c r="AA13" s="162"/>
      <c r="AB13" s="162"/>
      <c r="AC13" s="162"/>
      <c r="AD13" s="162"/>
    </row>
    <row r="14" spans="1:30">
      <c r="A14" s="448" t="s">
        <v>7</v>
      </c>
      <c r="B14" s="449" t="s">
        <v>8</v>
      </c>
      <c r="C14" s="449" t="s">
        <v>3</v>
      </c>
      <c r="D14" s="450">
        <v>100</v>
      </c>
      <c r="E14" s="450">
        <f t="shared" ref="E14:E52" si="0">IF($C14="","",VLOOKUP($C14,Biz_Travel_Fctr,2,FALSE)*$D14)</f>
        <v>31.3</v>
      </c>
      <c r="F14" s="464">
        <f t="shared" ref="F14:F52" si="1">IF($C14="","",VLOOKUP($C14,Biz_Travel_Fctr,3,FALSE)*$D14)</f>
        <v>0.8</v>
      </c>
      <c r="G14" s="465">
        <f t="shared" ref="G14:G52" si="2">IF($C14="","",VLOOKUP($C14,Biz_Travel_Fctr,4,FALSE)*$D14)</f>
        <v>0.70000000000000007</v>
      </c>
      <c r="H14" s="162"/>
      <c r="I14" s="162"/>
      <c r="J14" s="162"/>
      <c r="K14" s="162"/>
      <c r="L14" s="344"/>
      <c r="M14" s="344"/>
      <c r="N14" s="162"/>
      <c r="O14" s="162"/>
      <c r="P14" s="162"/>
      <c r="Q14" s="162"/>
      <c r="R14" s="162"/>
      <c r="S14" s="162"/>
      <c r="T14" s="162"/>
      <c r="U14" s="162"/>
      <c r="V14" s="162"/>
      <c r="W14" s="162"/>
      <c r="X14" s="162"/>
      <c r="Y14" s="162"/>
      <c r="Z14" s="162"/>
      <c r="AA14" s="162"/>
      <c r="AB14" s="162"/>
      <c r="AC14" s="162"/>
      <c r="AD14" s="162"/>
    </row>
    <row r="15" spans="1:30">
      <c r="A15" s="168"/>
      <c r="B15" s="169"/>
      <c r="C15" s="169"/>
      <c r="D15" s="171"/>
      <c r="E15" s="401" t="str">
        <f t="shared" si="0"/>
        <v/>
      </c>
      <c r="F15" s="164" t="str">
        <f t="shared" si="1"/>
        <v/>
      </c>
      <c r="G15" s="172" t="str">
        <f t="shared" si="2"/>
        <v/>
      </c>
      <c r="H15" s="162"/>
      <c r="I15" s="162"/>
      <c r="J15" s="162"/>
      <c r="K15" s="162"/>
      <c r="L15" s="163"/>
      <c r="M15" s="345"/>
      <c r="N15" s="162"/>
      <c r="O15" s="162"/>
      <c r="P15" s="162"/>
      <c r="Q15" s="162"/>
      <c r="R15" s="162"/>
      <c r="S15" s="162"/>
      <c r="T15" s="162"/>
      <c r="U15" s="162"/>
      <c r="V15" s="162"/>
      <c r="W15" s="162"/>
      <c r="X15" s="162"/>
      <c r="Y15" s="162"/>
      <c r="Z15" s="162"/>
      <c r="AA15" s="162"/>
      <c r="AB15" s="162"/>
      <c r="AC15" s="162"/>
      <c r="AD15" s="162"/>
    </row>
    <row r="16" spans="1:30">
      <c r="A16" s="93"/>
      <c r="B16" s="28"/>
      <c r="C16" s="28"/>
      <c r="D16" s="75"/>
      <c r="E16" s="2" t="str">
        <f t="shared" si="0"/>
        <v/>
      </c>
      <c r="F16" s="89" t="str">
        <f t="shared" si="1"/>
        <v/>
      </c>
      <c r="G16" s="148" t="str">
        <f t="shared" si="2"/>
        <v/>
      </c>
      <c r="H16" s="162"/>
      <c r="I16" s="162"/>
      <c r="J16" s="162"/>
      <c r="K16" s="162"/>
      <c r="L16" s="163"/>
      <c r="M16" s="345"/>
      <c r="N16" s="162"/>
      <c r="O16" s="162"/>
      <c r="P16" s="162"/>
      <c r="Q16" s="162"/>
      <c r="R16" s="162"/>
      <c r="S16" s="162"/>
      <c r="T16" s="162"/>
      <c r="U16" s="162"/>
      <c r="V16" s="162"/>
      <c r="W16" s="162"/>
      <c r="X16" s="162"/>
      <c r="Y16" s="162"/>
      <c r="Z16" s="162"/>
      <c r="AA16" s="162"/>
      <c r="AB16" s="162"/>
      <c r="AC16" s="162"/>
      <c r="AD16" s="162"/>
    </row>
    <row r="17" spans="1:30">
      <c r="A17" s="93"/>
      <c r="B17" s="28"/>
      <c r="C17" s="28"/>
      <c r="D17" s="75"/>
      <c r="E17" s="2" t="str">
        <f t="shared" si="0"/>
        <v/>
      </c>
      <c r="F17" s="89" t="str">
        <f t="shared" si="1"/>
        <v/>
      </c>
      <c r="G17" s="102" t="str">
        <f t="shared" si="2"/>
        <v/>
      </c>
      <c r="H17" s="162"/>
      <c r="I17" s="162"/>
      <c r="J17" s="162"/>
      <c r="K17" s="162"/>
      <c r="L17" s="163"/>
      <c r="M17" s="345"/>
      <c r="N17" s="162"/>
      <c r="O17" s="162"/>
      <c r="P17" s="162"/>
      <c r="Q17" s="162"/>
      <c r="R17" s="162"/>
      <c r="S17" s="162"/>
      <c r="T17" s="162"/>
      <c r="U17" s="162"/>
      <c r="V17" s="162"/>
      <c r="W17" s="162"/>
      <c r="X17" s="162"/>
      <c r="Y17" s="162"/>
      <c r="Z17" s="162"/>
      <c r="AA17" s="162"/>
      <c r="AB17" s="162"/>
      <c r="AC17" s="162"/>
      <c r="AD17" s="162"/>
    </row>
    <row r="18" spans="1:30">
      <c r="A18" s="93"/>
      <c r="B18" s="28"/>
      <c r="C18" s="28"/>
      <c r="D18" s="75"/>
      <c r="E18" s="2" t="str">
        <f t="shared" si="0"/>
        <v/>
      </c>
      <c r="F18" s="89" t="str">
        <f t="shared" si="1"/>
        <v/>
      </c>
      <c r="G18" s="102" t="str">
        <f t="shared" si="2"/>
        <v/>
      </c>
      <c r="H18" s="162"/>
      <c r="I18" s="162"/>
      <c r="J18" s="162"/>
      <c r="K18" s="162"/>
      <c r="L18" s="163"/>
      <c r="M18" s="345"/>
      <c r="N18" s="162"/>
      <c r="O18" s="162"/>
      <c r="P18" s="162"/>
      <c r="Q18" s="162"/>
      <c r="R18" s="162"/>
      <c r="S18" s="162"/>
      <c r="T18" s="162"/>
      <c r="U18" s="162"/>
      <c r="V18" s="162"/>
      <c r="W18" s="162"/>
      <c r="X18" s="162"/>
      <c r="Y18" s="162"/>
      <c r="Z18" s="162"/>
      <c r="AA18" s="162"/>
      <c r="AB18" s="162"/>
      <c r="AC18" s="162"/>
      <c r="AD18" s="162"/>
    </row>
    <row r="19" spans="1:30">
      <c r="A19" s="93"/>
      <c r="B19" s="28"/>
      <c r="C19" s="28"/>
      <c r="D19" s="75"/>
      <c r="E19" s="2" t="str">
        <f t="shared" si="0"/>
        <v/>
      </c>
      <c r="F19" s="89" t="str">
        <f t="shared" si="1"/>
        <v/>
      </c>
      <c r="G19" s="102" t="str">
        <f t="shared" si="2"/>
        <v/>
      </c>
      <c r="H19" s="162"/>
      <c r="I19" s="162"/>
      <c r="J19" s="162"/>
      <c r="K19" s="162"/>
      <c r="L19" s="163"/>
      <c r="M19" s="345"/>
      <c r="N19" s="162"/>
      <c r="O19" s="162"/>
      <c r="P19" s="162"/>
      <c r="Q19" s="162"/>
      <c r="R19" s="162"/>
      <c r="S19" s="162"/>
      <c r="T19" s="162"/>
      <c r="U19" s="162"/>
      <c r="V19" s="162"/>
      <c r="W19" s="162"/>
      <c r="X19" s="162"/>
      <c r="Y19" s="162"/>
      <c r="Z19" s="162"/>
      <c r="AA19" s="162"/>
      <c r="AB19" s="162"/>
      <c r="AC19" s="162"/>
      <c r="AD19" s="162"/>
    </row>
    <row r="20" spans="1:30">
      <c r="A20" s="93"/>
      <c r="B20" s="28"/>
      <c r="C20" s="28"/>
      <c r="D20" s="75"/>
      <c r="E20" s="2" t="str">
        <f t="shared" si="0"/>
        <v/>
      </c>
      <c r="F20" s="89" t="str">
        <f t="shared" si="1"/>
        <v/>
      </c>
      <c r="G20" s="102" t="str">
        <f t="shared" si="2"/>
        <v/>
      </c>
      <c r="H20" s="162"/>
      <c r="I20" s="162"/>
      <c r="J20" s="162"/>
      <c r="K20" s="162"/>
      <c r="L20" s="345"/>
      <c r="M20" s="345"/>
      <c r="N20" s="162"/>
      <c r="O20" s="162"/>
      <c r="P20" s="162"/>
      <c r="Q20" s="162"/>
      <c r="R20" s="162"/>
      <c r="S20" s="162"/>
      <c r="T20" s="162"/>
      <c r="U20" s="162"/>
      <c r="V20" s="162"/>
      <c r="W20" s="162"/>
      <c r="X20" s="162"/>
      <c r="Y20" s="162"/>
      <c r="Z20" s="162"/>
      <c r="AA20" s="162"/>
      <c r="AB20" s="162"/>
      <c r="AC20" s="162"/>
      <c r="AD20" s="162"/>
    </row>
    <row r="21" spans="1:30">
      <c r="A21" s="93"/>
      <c r="B21" s="28"/>
      <c r="C21" s="28"/>
      <c r="D21" s="75"/>
      <c r="E21" s="2" t="str">
        <f t="shared" si="0"/>
        <v/>
      </c>
      <c r="F21" s="89" t="str">
        <f t="shared" si="1"/>
        <v/>
      </c>
      <c r="G21" s="102" t="str">
        <f t="shared" si="2"/>
        <v/>
      </c>
      <c r="H21" s="162"/>
      <c r="I21" s="162"/>
      <c r="J21" s="162"/>
      <c r="K21" s="162"/>
      <c r="L21" s="345"/>
      <c r="M21" s="345"/>
      <c r="N21" s="162"/>
      <c r="O21" s="162"/>
      <c r="P21" s="162"/>
      <c r="Q21" s="162"/>
      <c r="R21" s="162"/>
      <c r="S21" s="162"/>
      <c r="T21" s="162"/>
      <c r="U21" s="162"/>
      <c r="V21" s="162"/>
      <c r="W21" s="162"/>
      <c r="X21" s="162"/>
      <c r="Y21" s="162"/>
      <c r="Z21" s="162"/>
      <c r="AA21" s="162"/>
      <c r="AB21" s="162"/>
      <c r="AC21" s="162"/>
      <c r="AD21" s="162"/>
    </row>
    <row r="22" spans="1:30">
      <c r="A22" s="93"/>
      <c r="B22" s="28"/>
      <c r="C22" s="28"/>
      <c r="D22" s="75"/>
      <c r="E22" s="2" t="str">
        <f t="shared" si="0"/>
        <v/>
      </c>
      <c r="F22" s="89" t="str">
        <f t="shared" si="1"/>
        <v/>
      </c>
      <c r="G22" s="102" t="str">
        <f t="shared" si="2"/>
        <v/>
      </c>
      <c r="H22" s="162"/>
      <c r="I22" s="162"/>
      <c r="J22" s="162"/>
      <c r="K22" s="162"/>
      <c r="L22" s="345"/>
      <c r="M22" s="345"/>
      <c r="N22" s="162"/>
      <c r="O22" s="162"/>
      <c r="P22" s="162"/>
      <c r="Q22" s="162"/>
      <c r="R22" s="162"/>
      <c r="S22" s="162"/>
      <c r="T22" s="162"/>
      <c r="U22" s="162"/>
      <c r="V22" s="162"/>
      <c r="W22" s="162"/>
      <c r="X22" s="162"/>
      <c r="Y22" s="162"/>
      <c r="Z22" s="162"/>
      <c r="AA22" s="162"/>
      <c r="AB22" s="162"/>
      <c r="AC22" s="162"/>
      <c r="AD22" s="162"/>
    </row>
    <row r="23" spans="1:30">
      <c r="A23" s="93"/>
      <c r="B23" s="28"/>
      <c r="C23" s="28"/>
      <c r="D23" s="75"/>
      <c r="E23" s="2" t="str">
        <f t="shared" si="0"/>
        <v/>
      </c>
      <c r="F23" s="89" t="str">
        <f t="shared" si="1"/>
        <v/>
      </c>
      <c r="G23" s="102" t="str">
        <f t="shared" si="2"/>
        <v/>
      </c>
      <c r="H23" s="162"/>
      <c r="I23" s="162"/>
      <c r="J23" s="162"/>
      <c r="K23" s="162"/>
      <c r="L23" s="345"/>
      <c r="M23" s="345"/>
      <c r="N23" s="162"/>
      <c r="O23" s="162"/>
      <c r="P23" s="162"/>
      <c r="Q23" s="162"/>
      <c r="R23" s="162"/>
      <c r="S23" s="162"/>
      <c r="T23" s="162"/>
      <c r="U23" s="162"/>
      <c r="V23" s="162"/>
      <c r="W23" s="162"/>
      <c r="X23" s="162"/>
      <c r="Y23" s="162"/>
      <c r="Z23" s="162"/>
      <c r="AA23" s="162"/>
      <c r="AB23" s="162"/>
      <c r="AC23" s="162"/>
      <c r="AD23" s="162"/>
    </row>
    <row r="24" spans="1:30" hidden="1">
      <c r="A24" s="93"/>
      <c r="B24" s="28"/>
      <c r="C24" s="28"/>
      <c r="D24" s="75"/>
      <c r="E24" s="2" t="str">
        <f t="shared" si="0"/>
        <v/>
      </c>
      <c r="F24" s="89" t="str">
        <f t="shared" si="1"/>
        <v/>
      </c>
      <c r="G24" s="102" t="str">
        <f t="shared" si="2"/>
        <v/>
      </c>
      <c r="H24" s="162"/>
      <c r="I24" s="162"/>
      <c r="J24" s="162"/>
      <c r="K24" s="162"/>
      <c r="L24" s="345"/>
      <c r="M24" s="345"/>
      <c r="N24" s="162"/>
      <c r="O24" s="162"/>
      <c r="P24" s="162"/>
      <c r="Q24" s="162"/>
      <c r="R24" s="162"/>
      <c r="S24" s="162"/>
      <c r="T24" s="162"/>
      <c r="U24" s="162"/>
      <c r="V24" s="162"/>
      <c r="W24" s="162"/>
      <c r="X24" s="162"/>
      <c r="Y24" s="162"/>
      <c r="Z24" s="162"/>
      <c r="AA24" s="162"/>
      <c r="AB24" s="162"/>
      <c r="AC24" s="162"/>
      <c r="AD24" s="162"/>
    </row>
    <row r="25" spans="1:30">
      <c r="A25" s="93"/>
      <c r="B25" s="28"/>
      <c r="C25" s="28"/>
      <c r="D25" s="75"/>
      <c r="E25" s="2" t="str">
        <f t="shared" si="0"/>
        <v/>
      </c>
      <c r="F25" s="89" t="str">
        <f t="shared" si="1"/>
        <v/>
      </c>
      <c r="G25" s="102" t="str">
        <f t="shared" si="2"/>
        <v/>
      </c>
      <c r="H25" s="162"/>
      <c r="I25" s="162"/>
      <c r="J25" s="162"/>
      <c r="K25" s="162"/>
      <c r="L25" s="345"/>
      <c r="M25" s="345"/>
      <c r="N25" s="162"/>
      <c r="O25" s="162"/>
      <c r="P25" s="162"/>
      <c r="Q25" s="162"/>
      <c r="R25" s="162"/>
      <c r="S25" s="162"/>
      <c r="T25" s="162"/>
      <c r="U25" s="162"/>
      <c r="V25" s="162"/>
      <c r="W25" s="162"/>
      <c r="X25" s="162"/>
      <c r="Y25" s="162"/>
      <c r="Z25" s="162"/>
      <c r="AA25" s="162"/>
      <c r="AB25" s="162"/>
      <c r="AC25" s="162"/>
      <c r="AD25" s="162"/>
    </row>
    <row r="26" spans="1:30" hidden="1">
      <c r="A26" s="93"/>
      <c r="B26" s="28"/>
      <c r="C26" s="28"/>
      <c r="D26" s="75"/>
      <c r="E26" s="2" t="str">
        <f t="shared" si="0"/>
        <v/>
      </c>
      <c r="F26" s="89" t="str">
        <f t="shared" si="1"/>
        <v/>
      </c>
      <c r="G26" s="102" t="str">
        <f t="shared" si="2"/>
        <v/>
      </c>
      <c r="H26" s="162"/>
      <c r="I26" s="162"/>
      <c r="J26" s="162"/>
      <c r="K26" s="162"/>
      <c r="L26" s="345"/>
      <c r="M26" s="345"/>
      <c r="N26" s="162"/>
      <c r="O26" s="162"/>
      <c r="P26" s="162"/>
      <c r="Q26" s="162"/>
      <c r="R26" s="162"/>
      <c r="S26" s="162"/>
      <c r="T26" s="162"/>
      <c r="U26" s="162"/>
      <c r="V26" s="162"/>
      <c r="W26" s="162"/>
      <c r="X26" s="162"/>
      <c r="Y26" s="162"/>
      <c r="Z26" s="162"/>
      <c r="AA26" s="162"/>
      <c r="AB26" s="162"/>
      <c r="AC26" s="162"/>
      <c r="AD26" s="162"/>
    </row>
    <row r="27" spans="1:30">
      <c r="A27" s="93"/>
      <c r="B27" s="28"/>
      <c r="C27" s="28"/>
      <c r="D27" s="75"/>
      <c r="E27" s="2" t="str">
        <f t="shared" si="0"/>
        <v/>
      </c>
      <c r="F27" s="89" t="str">
        <f t="shared" si="1"/>
        <v/>
      </c>
      <c r="G27" s="102" t="str">
        <f t="shared" si="2"/>
        <v/>
      </c>
      <c r="H27" s="162"/>
      <c r="I27" s="162"/>
      <c r="J27" s="162"/>
      <c r="K27" s="162"/>
      <c r="L27" s="345"/>
      <c r="M27" s="345"/>
      <c r="N27" s="162"/>
      <c r="O27" s="162"/>
      <c r="P27" s="162"/>
      <c r="Q27" s="162"/>
      <c r="R27" s="162"/>
      <c r="S27" s="162"/>
      <c r="T27" s="162"/>
      <c r="U27" s="162"/>
      <c r="V27" s="162"/>
      <c r="W27" s="162"/>
      <c r="X27" s="162"/>
      <c r="Y27" s="162"/>
      <c r="Z27" s="162"/>
      <c r="AA27" s="162"/>
      <c r="AB27" s="162"/>
      <c r="AC27" s="162"/>
      <c r="AD27" s="162"/>
    </row>
    <row r="28" spans="1:30">
      <c r="A28" s="93"/>
      <c r="B28" s="28"/>
      <c r="C28" s="28"/>
      <c r="D28" s="75"/>
      <c r="E28" s="2" t="str">
        <f t="shared" si="0"/>
        <v/>
      </c>
      <c r="F28" s="89" t="str">
        <f t="shared" si="1"/>
        <v/>
      </c>
      <c r="G28" s="102" t="str">
        <f t="shared" si="2"/>
        <v/>
      </c>
      <c r="H28" s="162"/>
      <c r="I28" s="162"/>
      <c r="J28" s="162"/>
      <c r="K28" s="162"/>
      <c r="L28" s="345"/>
      <c r="M28" s="345"/>
      <c r="N28" s="162"/>
      <c r="O28" s="162"/>
      <c r="P28" s="162"/>
      <c r="Q28" s="162"/>
      <c r="R28" s="162"/>
      <c r="S28" s="162"/>
      <c r="T28" s="162"/>
      <c r="U28" s="162"/>
      <c r="V28" s="162"/>
      <c r="W28" s="162"/>
      <c r="X28" s="162"/>
      <c r="Y28" s="162"/>
      <c r="Z28" s="162"/>
      <c r="AA28" s="162"/>
      <c r="AB28" s="162"/>
      <c r="AC28" s="162"/>
      <c r="AD28" s="162"/>
    </row>
    <row r="29" spans="1:30">
      <c r="A29" s="93"/>
      <c r="B29" s="28"/>
      <c r="C29" s="28"/>
      <c r="D29" s="75"/>
      <c r="E29" s="2" t="str">
        <f t="shared" si="0"/>
        <v/>
      </c>
      <c r="F29" s="89" t="str">
        <f t="shared" si="1"/>
        <v/>
      </c>
      <c r="G29" s="102" t="str">
        <f t="shared" si="2"/>
        <v/>
      </c>
      <c r="H29" s="162"/>
      <c r="I29" s="162"/>
      <c r="J29" s="162"/>
      <c r="K29" s="162"/>
      <c r="L29" s="345"/>
      <c r="M29" s="345"/>
      <c r="N29" s="162"/>
      <c r="O29" s="162"/>
      <c r="P29" s="162"/>
      <c r="Q29" s="162"/>
      <c r="R29" s="162"/>
      <c r="S29" s="162"/>
      <c r="T29" s="162"/>
      <c r="U29" s="162"/>
      <c r="V29" s="162"/>
      <c r="W29" s="162"/>
      <c r="X29" s="162"/>
      <c r="Y29" s="162"/>
      <c r="Z29" s="162"/>
      <c r="AA29" s="162"/>
      <c r="AB29" s="162"/>
      <c r="AC29" s="162"/>
      <c r="AD29" s="162"/>
    </row>
    <row r="30" spans="1:30">
      <c r="A30" s="93"/>
      <c r="B30" s="28"/>
      <c r="C30" s="28"/>
      <c r="D30" s="75"/>
      <c r="E30" s="2" t="str">
        <f t="shared" si="0"/>
        <v/>
      </c>
      <c r="F30" s="89" t="str">
        <f t="shared" si="1"/>
        <v/>
      </c>
      <c r="G30" s="102" t="str">
        <f t="shared" si="2"/>
        <v/>
      </c>
      <c r="H30" s="162"/>
      <c r="I30" s="162"/>
      <c r="J30" s="162"/>
      <c r="K30" s="162"/>
      <c r="L30" s="345"/>
      <c r="M30" s="345"/>
      <c r="N30" s="162"/>
      <c r="O30" s="162"/>
      <c r="P30" s="162"/>
      <c r="Q30" s="162"/>
      <c r="R30" s="162"/>
      <c r="S30" s="162"/>
      <c r="T30" s="162"/>
      <c r="U30" s="162"/>
      <c r="V30" s="162"/>
      <c r="W30" s="162"/>
      <c r="X30" s="162"/>
      <c r="Y30" s="162"/>
      <c r="Z30" s="162"/>
      <c r="AA30" s="162"/>
      <c r="AB30" s="162"/>
      <c r="AC30" s="162"/>
      <c r="AD30" s="162"/>
    </row>
    <row r="31" spans="1:30">
      <c r="A31" s="93"/>
      <c r="B31" s="28"/>
      <c r="C31" s="28"/>
      <c r="D31" s="75"/>
      <c r="E31" s="2" t="str">
        <f t="shared" si="0"/>
        <v/>
      </c>
      <c r="F31" s="89" t="str">
        <f t="shared" si="1"/>
        <v/>
      </c>
      <c r="G31" s="102" t="str">
        <f t="shared" si="2"/>
        <v/>
      </c>
      <c r="H31" s="162"/>
      <c r="I31" s="162"/>
      <c r="J31" s="162"/>
      <c r="K31" s="162"/>
      <c r="L31" s="345"/>
      <c r="M31" s="345"/>
      <c r="N31" s="162"/>
      <c r="O31" s="162"/>
      <c r="P31" s="162"/>
      <c r="Q31" s="162"/>
      <c r="R31" s="162"/>
      <c r="S31" s="162"/>
      <c r="T31" s="162"/>
      <c r="U31" s="162"/>
      <c r="V31" s="162"/>
      <c r="W31" s="162"/>
      <c r="X31" s="162"/>
      <c r="Y31" s="162"/>
      <c r="Z31" s="162"/>
      <c r="AA31" s="162"/>
      <c r="AB31" s="162"/>
      <c r="AC31" s="162"/>
      <c r="AD31" s="162"/>
    </row>
    <row r="32" spans="1:30">
      <c r="A32" s="93"/>
      <c r="B32" s="28"/>
      <c r="C32" s="28"/>
      <c r="D32" s="75"/>
      <c r="E32" s="2" t="str">
        <f t="shared" si="0"/>
        <v/>
      </c>
      <c r="F32" s="89" t="str">
        <f t="shared" si="1"/>
        <v/>
      </c>
      <c r="G32" s="102" t="str">
        <f t="shared" si="2"/>
        <v/>
      </c>
      <c r="H32" s="162"/>
      <c r="I32" s="162"/>
      <c r="J32" s="162"/>
      <c r="K32" s="162"/>
      <c r="L32" s="345"/>
      <c r="M32" s="345"/>
      <c r="N32" s="162"/>
      <c r="O32" s="162"/>
      <c r="P32" s="162"/>
      <c r="Q32" s="162"/>
      <c r="R32" s="162"/>
      <c r="S32" s="162"/>
      <c r="T32" s="162"/>
      <c r="U32" s="162"/>
      <c r="V32" s="162"/>
      <c r="W32" s="162"/>
      <c r="X32" s="162"/>
      <c r="Y32" s="162"/>
      <c r="Z32" s="162"/>
      <c r="AA32" s="162"/>
      <c r="AB32" s="162"/>
      <c r="AC32" s="162"/>
      <c r="AD32" s="162"/>
    </row>
    <row r="33" spans="1:30">
      <c r="A33" s="93"/>
      <c r="B33" s="28"/>
      <c r="C33" s="28"/>
      <c r="D33" s="75"/>
      <c r="E33" s="2" t="str">
        <f t="shared" si="0"/>
        <v/>
      </c>
      <c r="F33" s="89" t="str">
        <f t="shared" si="1"/>
        <v/>
      </c>
      <c r="G33" s="102" t="str">
        <f t="shared" si="2"/>
        <v/>
      </c>
      <c r="H33" s="162"/>
      <c r="I33" s="162"/>
      <c r="J33" s="162"/>
      <c r="K33" s="162"/>
      <c r="L33" s="345"/>
      <c r="M33" s="345"/>
      <c r="N33" s="162"/>
      <c r="O33" s="162"/>
      <c r="P33" s="162"/>
      <c r="Q33" s="162"/>
      <c r="R33" s="162"/>
      <c r="S33" s="162"/>
      <c r="T33" s="162"/>
      <c r="U33" s="162"/>
      <c r="V33" s="162"/>
      <c r="W33" s="162"/>
      <c r="X33" s="162"/>
      <c r="Y33" s="162"/>
      <c r="Z33" s="162"/>
      <c r="AA33" s="162"/>
      <c r="AB33" s="162"/>
      <c r="AC33" s="162"/>
      <c r="AD33" s="162"/>
    </row>
    <row r="34" spans="1:30">
      <c r="A34" s="93"/>
      <c r="B34" s="28"/>
      <c r="C34" s="28"/>
      <c r="D34" s="75"/>
      <c r="E34" s="2" t="str">
        <f t="shared" si="0"/>
        <v/>
      </c>
      <c r="F34" s="89" t="str">
        <f t="shared" si="1"/>
        <v/>
      </c>
      <c r="G34" s="102" t="str">
        <f t="shared" si="2"/>
        <v/>
      </c>
      <c r="H34" s="162"/>
      <c r="I34" s="162"/>
      <c r="J34" s="162"/>
      <c r="K34" s="162"/>
      <c r="L34" s="345"/>
      <c r="M34" s="345"/>
      <c r="N34" s="162"/>
      <c r="O34" s="162"/>
      <c r="P34" s="162"/>
      <c r="Q34" s="162"/>
      <c r="R34" s="162"/>
      <c r="S34" s="162"/>
      <c r="T34" s="162"/>
      <c r="U34" s="162"/>
      <c r="V34" s="162"/>
      <c r="W34" s="162"/>
      <c r="X34" s="162"/>
      <c r="Y34" s="162"/>
      <c r="Z34" s="162"/>
      <c r="AA34" s="162"/>
      <c r="AB34" s="162"/>
      <c r="AC34" s="162"/>
      <c r="AD34" s="162"/>
    </row>
    <row r="35" spans="1:30">
      <c r="A35" s="93"/>
      <c r="B35" s="28"/>
      <c r="C35" s="28"/>
      <c r="D35" s="75"/>
      <c r="E35" s="2" t="str">
        <f t="shared" si="0"/>
        <v/>
      </c>
      <c r="F35" s="89" t="str">
        <f t="shared" si="1"/>
        <v/>
      </c>
      <c r="G35" s="102" t="str">
        <f t="shared" si="2"/>
        <v/>
      </c>
      <c r="H35" s="162"/>
      <c r="I35" s="162"/>
      <c r="J35" s="162"/>
      <c r="K35" s="162"/>
      <c r="L35" s="345"/>
      <c r="M35" s="345"/>
      <c r="N35" s="162"/>
      <c r="O35" s="162"/>
      <c r="P35" s="162"/>
      <c r="Q35" s="162"/>
      <c r="R35" s="162"/>
      <c r="S35" s="162"/>
      <c r="T35" s="162"/>
      <c r="U35" s="162"/>
      <c r="V35" s="162"/>
      <c r="W35" s="162"/>
      <c r="X35" s="162"/>
      <c r="Y35" s="162"/>
      <c r="Z35" s="162"/>
      <c r="AA35" s="162"/>
      <c r="AB35" s="162"/>
      <c r="AC35" s="162"/>
      <c r="AD35" s="162"/>
    </row>
    <row r="36" spans="1:30">
      <c r="A36" s="93"/>
      <c r="B36" s="28"/>
      <c r="C36" s="28"/>
      <c r="D36" s="75"/>
      <c r="E36" s="2" t="str">
        <f t="shared" si="0"/>
        <v/>
      </c>
      <c r="F36" s="89" t="str">
        <f t="shared" si="1"/>
        <v/>
      </c>
      <c r="G36" s="102" t="str">
        <f t="shared" si="2"/>
        <v/>
      </c>
      <c r="H36" s="162"/>
      <c r="I36" s="162"/>
      <c r="J36" s="162"/>
      <c r="K36" s="162"/>
      <c r="L36" s="345"/>
      <c r="M36" s="345"/>
      <c r="N36" s="162"/>
      <c r="O36" s="162"/>
      <c r="P36" s="162"/>
      <c r="Q36" s="162"/>
      <c r="R36" s="162"/>
      <c r="S36" s="162"/>
      <c r="T36" s="162"/>
      <c r="U36" s="162"/>
      <c r="V36" s="162"/>
      <c r="W36" s="162"/>
      <c r="X36" s="162"/>
      <c r="Y36" s="162"/>
      <c r="Z36" s="162"/>
      <c r="AA36" s="162"/>
      <c r="AB36" s="162"/>
      <c r="AC36" s="162"/>
      <c r="AD36" s="162"/>
    </row>
    <row r="37" spans="1:30">
      <c r="A37" s="93"/>
      <c r="B37" s="28"/>
      <c r="C37" s="28"/>
      <c r="D37" s="75"/>
      <c r="E37" s="2" t="str">
        <f t="shared" si="0"/>
        <v/>
      </c>
      <c r="F37" s="89" t="str">
        <f t="shared" si="1"/>
        <v/>
      </c>
      <c r="G37" s="102" t="str">
        <f t="shared" si="2"/>
        <v/>
      </c>
      <c r="H37" s="162"/>
      <c r="I37" s="162"/>
      <c r="J37" s="162"/>
      <c r="K37" s="162"/>
      <c r="L37" s="345"/>
      <c r="M37" s="345"/>
      <c r="N37" s="162"/>
      <c r="O37" s="162"/>
      <c r="P37" s="162"/>
      <c r="Q37" s="162"/>
      <c r="R37" s="162"/>
      <c r="S37" s="162"/>
      <c r="T37" s="162"/>
      <c r="U37" s="162"/>
      <c r="V37" s="162"/>
      <c r="W37" s="162"/>
      <c r="X37" s="162"/>
      <c r="Y37" s="162"/>
      <c r="Z37" s="162"/>
      <c r="AA37" s="162"/>
      <c r="AB37" s="162"/>
      <c r="AC37" s="162"/>
      <c r="AD37" s="162"/>
    </row>
    <row r="38" spans="1:30">
      <c r="A38" s="93"/>
      <c r="B38" s="28"/>
      <c r="C38" s="28"/>
      <c r="D38" s="75"/>
      <c r="E38" s="2" t="str">
        <f t="shared" si="0"/>
        <v/>
      </c>
      <c r="F38" s="89" t="str">
        <f t="shared" si="1"/>
        <v/>
      </c>
      <c r="G38" s="102" t="str">
        <f t="shared" si="2"/>
        <v/>
      </c>
      <c r="H38" s="162"/>
      <c r="I38" s="162"/>
      <c r="J38" s="162"/>
      <c r="K38" s="162"/>
      <c r="L38" s="345"/>
      <c r="M38" s="345"/>
      <c r="N38" s="162"/>
      <c r="O38" s="162"/>
      <c r="P38" s="162"/>
      <c r="Q38" s="162"/>
      <c r="R38" s="162"/>
      <c r="S38" s="162"/>
      <c r="T38" s="162"/>
      <c r="U38" s="162"/>
      <c r="V38" s="162"/>
      <c r="W38" s="162"/>
      <c r="X38" s="162"/>
      <c r="Y38" s="162"/>
      <c r="Z38" s="162"/>
      <c r="AA38" s="162"/>
      <c r="AB38" s="162"/>
      <c r="AC38" s="162"/>
      <c r="AD38" s="162"/>
    </row>
    <row r="39" spans="1:30">
      <c r="A39" s="93"/>
      <c r="B39" s="28"/>
      <c r="C39" s="28"/>
      <c r="D39" s="75"/>
      <c r="E39" s="2" t="str">
        <f t="shared" si="0"/>
        <v/>
      </c>
      <c r="F39" s="89" t="str">
        <f t="shared" si="1"/>
        <v/>
      </c>
      <c r="G39" s="102" t="str">
        <f t="shared" si="2"/>
        <v/>
      </c>
      <c r="H39" s="162"/>
      <c r="I39" s="162"/>
      <c r="J39" s="162"/>
      <c r="K39" s="162"/>
      <c r="L39" s="345"/>
      <c r="M39" s="345"/>
      <c r="N39" s="162"/>
      <c r="O39" s="162"/>
      <c r="P39" s="162"/>
      <c r="Q39" s="162"/>
      <c r="R39" s="162"/>
      <c r="S39" s="162"/>
      <c r="T39" s="162"/>
      <c r="U39" s="162"/>
      <c r="V39" s="162"/>
      <c r="W39" s="162"/>
      <c r="X39" s="162"/>
      <c r="Y39" s="162"/>
      <c r="Z39" s="162"/>
      <c r="AA39" s="162"/>
      <c r="AB39" s="162"/>
      <c r="AC39" s="162"/>
      <c r="AD39" s="162"/>
    </row>
    <row r="40" spans="1:30">
      <c r="A40" s="93"/>
      <c r="B40" s="28"/>
      <c r="C40" s="28"/>
      <c r="D40" s="75"/>
      <c r="E40" s="2" t="str">
        <f t="shared" si="0"/>
        <v/>
      </c>
      <c r="F40" s="89" t="str">
        <f t="shared" si="1"/>
        <v/>
      </c>
      <c r="G40" s="102" t="str">
        <f t="shared" si="2"/>
        <v/>
      </c>
      <c r="H40" s="162"/>
      <c r="I40" s="162"/>
      <c r="J40" s="162"/>
      <c r="K40" s="162"/>
      <c r="L40" s="345"/>
      <c r="M40" s="345"/>
      <c r="N40" s="162"/>
      <c r="O40" s="162"/>
      <c r="P40" s="162"/>
      <c r="Q40" s="162"/>
      <c r="R40" s="162"/>
      <c r="S40" s="162"/>
      <c r="T40" s="162"/>
      <c r="U40" s="162"/>
      <c r="V40" s="162"/>
      <c r="W40" s="162"/>
      <c r="X40" s="162"/>
      <c r="Y40" s="162"/>
      <c r="Z40" s="162"/>
      <c r="AA40" s="162"/>
      <c r="AB40" s="162"/>
      <c r="AC40" s="162"/>
      <c r="AD40" s="162"/>
    </row>
    <row r="41" spans="1:30">
      <c r="A41" s="93"/>
      <c r="B41" s="28"/>
      <c r="C41" s="28"/>
      <c r="D41" s="75"/>
      <c r="E41" s="2" t="str">
        <f t="shared" si="0"/>
        <v/>
      </c>
      <c r="F41" s="89" t="str">
        <f t="shared" si="1"/>
        <v/>
      </c>
      <c r="G41" s="102" t="str">
        <f t="shared" si="2"/>
        <v/>
      </c>
      <c r="H41" s="162"/>
      <c r="I41" s="162"/>
      <c r="J41" s="162"/>
      <c r="K41" s="162"/>
      <c r="L41" s="345"/>
      <c r="M41" s="345"/>
      <c r="N41" s="162"/>
      <c r="O41" s="162"/>
      <c r="P41" s="162"/>
      <c r="Q41" s="162"/>
      <c r="R41" s="162"/>
      <c r="S41" s="162"/>
      <c r="T41" s="162"/>
      <c r="U41" s="162"/>
      <c r="V41" s="162"/>
      <c r="W41" s="162"/>
      <c r="X41" s="162"/>
      <c r="Y41" s="162"/>
      <c r="Z41" s="162"/>
      <c r="AA41" s="162"/>
      <c r="AB41" s="162"/>
      <c r="AC41" s="162"/>
      <c r="AD41" s="162"/>
    </row>
    <row r="42" spans="1:30">
      <c r="A42" s="93"/>
      <c r="B42" s="28"/>
      <c r="C42" s="28"/>
      <c r="D42" s="75"/>
      <c r="E42" s="2" t="str">
        <f t="shared" si="0"/>
        <v/>
      </c>
      <c r="F42" s="89" t="str">
        <f t="shared" si="1"/>
        <v/>
      </c>
      <c r="G42" s="102" t="str">
        <f t="shared" si="2"/>
        <v/>
      </c>
      <c r="H42" s="162"/>
      <c r="I42" s="162"/>
      <c r="J42" s="162"/>
      <c r="K42" s="162"/>
      <c r="L42" s="345"/>
      <c r="M42" s="346"/>
      <c r="N42" s="162"/>
      <c r="O42" s="162"/>
      <c r="P42" s="162"/>
      <c r="Q42" s="162"/>
      <c r="R42" s="162"/>
      <c r="S42" s="162"/>
      <c r="T42" s="162"/>
      <c r="U42" s="162"/>
      <c r="V42" s="162"/>
      <c r="W42" s="162"/>
      <c r="X42" s="162"/>
      <c r="Y42" s="162"/>
      <c r="Z42" s="162"/>
      <c r="AA42" s="162"/>
      <c r="AB42" s="162"/>
      <c r="AC42" s="162"/>
      <c r="AD42" s="162"/>
    </row>
    <row r="43" spans="1:30">
      <c r="A43" s="93"/>
      <c r="B43" s="28"/>
      <c r="C43" s="28"/>
      <c r="D43" s="75"/>
      <c r="E43" s="2" t="str">
        <f t="shared" si="0"/>
        <v/>
      </c>
      <c r="F43" s="89" t="str">
        <f t="shared" si="1"/>
        <v/>
      </c>
      <c r="G43" s="102" t="str">
        <f t="shared" si="2"/>
        <v/>
      </c>
      <c r="H43" s="162"/>
      <c r="I43" s="162"/>
      <c r="J43" s="162"/>
      <c r="K43" s="162"/>
      <c r="L43" s="345"/>
      <c r="M43" s="346"/>
      <c r="N43" s="162"/>
      <c r="O43" s="162"/>
      <c r="P43" s="162"/>
      <c r="Q43" s="162"/>
      <c r="R43" s="162"/>
      <c r="S43" s="162"/>
      <c r="T43" s="162"/>
      <c r="U43" s="162"/>
      <c r="V43" s="162"/>
      <c r="W43" s="162"/>
      <c r="X43" s="162"/>
      <c r="Y43" s="162"/>
      <c r="Z43" s="162"/>
      <c r="AA43" s="162"/>
      <c r="AB43" s="162"/>
      <c r="AC43" s="162"/>
      <c r="AD43" s="162"/>
    </row>
    <row r="44" spans="1:30">
      <c r="A44" s="93"/>
      <c r="B44" s="28"/>
      <c r="C44" s="28"/>
      <c r="D44" s="75"/>
      <c r="E44" s="2" t="str">
        <f t="shared" si="0"/>
        <v/>
      </c>
      <c r="F44" s="89" t="str">
        <f t="shared" si="1"/>
        <v/>
      </c>
      <c r="G44" s="102" t="str">
        <f t="shared" si="2"/>
        <v/>
      </c>
      <c r="H44" s="162"/>
      <c r="I44" s="162"/>
      <c r="J44" s="162"/>
      <c r="K44" s="162"/>
      <c r="L44" s="345"/>
      <c r="M44" s="346"/>
      <c r="N44" s="162"/>
      <c r="O44" s="162"/>
      <c r="P44" s="162"/>
      <c r="Q44" s="162"/>
      <c r="R44" s="162"/>
      <c r="S44" s="162"/>
      <c r="T44" s="162"/>
      <c r="U44" s="162"/>
      <c r="V44" s="162"/>
      <c r="W44" s="162"/>
      <c r="X44" s="162"/>
      <c r="Y44" s="162"/>
      <c r="Z44" s="162"/>
      <c r="AA44" s="162"/>
      <c r="AB44" s="162"/>
      <c r="AC44" s="162"/>
      <c r="AD44" s="162"/>
    </row>
    <row r="45" spans="1:30">
      <c r="A45" s="93"/>
      <c r="B45" s="28"/>
      <c r="C45" s="28"/>
      <c r="D45" s="75"/>
      <c r="E45" s="2" t="str">
        <f t="shared" si="0"/>
        <v/>
      </c>
      <c r="F45" s="89" t="str">
        <f t="shared" si="1"/>
        <v/>
      </c>
      <c r="G45" s="102" t="str">
        <f t="shared" si="2"/>
        <v/>
      </c>
      <c r="H45" s="162"/>
      <c r="I45" s="162"/>
      <c r="J45" s="162"/>
      <c r="K45" s="162"/>
      <c r="L45" s="345"/>
      <c r="M45" s="346"/>
      <c r="N45" s="162"/>
      <c r="O45" s="162"/>
      <c r="P45" s="162"/>
      <c r="Q45" s="162"/>
      <c r="R45" s="162"/>
      <c r="S45" s="162"/>
      <c r="T45" s="162"/>
      <c r="U45" s="162"/>
      <c r="V45" s="162"/>
      <c r="W45" s="162"/>
      <c r="X45" s="162"/>
      <c r="Y45" s="162"/>
      <c r="Z45" s="162"/>
      <c r="AA45" s="162"/>
      <c r="AB45" s="162"/>
      <c r="AC45" s="162"/>
      <c r="AD45" s="162"/>
    </row>
    <row r="46" spans="1:30">
      <c r="A46" s="93"/>
      <c r="B46" s="28"/>
      <c r="C46" s="28"/>
      <c r="D46" s="75"/>
      <c r="E46" s="2" t="str">
        <f t="shared" si="0"/>
        <v/>
      </c>
      <c r="F46" s="89" t="str">
        <f t="shared" si="1"/>
        <v/>
      </c>
      <c r="G46" s="102" t="str">
        <f t="shared" si="2"/>
        <v/>
      </c>
      <c r="H46" s="162"/>
      <c r="I46" s="162"/>
      <c r="J46" s="162"/>
      <c r="K46" s="162"/>
      <c r="L46" s="163"/>
      <c r="M46" s="163"/>
      <c r="N46" s="162"/>
      <c r="O46" s="162"/>
      <c r="P46" s="162"/>
      <c r="Q46" s="162"/>
      <c r="R46" s="162"/>
      <c r="S46" s="162"/>
      <c r="T46" s="162"/>
      <c r="U46" s="162"/>
      <c r="V46" s="162"/>
      <c r="W46" s="162"/>
      <c r="X46" s="162"/>
      <c r="Y46" s="162"/>
      <c r="Z46" s="162"/>
      <c r="AA46" s="162"/>
      <c r="AB46" s="162"/>
      <c r="AC46" s="162"/>
      <c r="AD46" s="162"/>
    </row>
    <row r="47" spans="1:30">
      <c r="A47" s="93"/>
      <c r="B47" s="28"/>
      <c r="C47" s="28"/>
      <c r="D47" s="75"/>
      <c r="E47" s="2" t="str">
        <f t="shared" si="0"/>
        <v/>
      </c>
      <c r="F47" s="89" t="str">
        <f t="shared" si="1"/>
        <v/>
      </c>
      <c r="G47" s="102" t="str">
        <f t="shared" si="2"/>
        <v/>
      </c>
      <c r="H47" s="162"/>
      <c r="I47" s="162"/>
      <c r="J47" s="162"/>
      <c r="K47" s="162"/>
      <c r="L47" s="163"/>
      <c r="M47" s="163"/>
      <c r="N47" s="162"/>
      <c r="O47" s="162"/>
      <c r="P47" s="162"/>
      <c r="Q47" s="162"/>
      <c r="R47" s="162"/>
      <c r="S47" s="162"/>
      <c r="T47" s="162"/>
      <c r="U47" s="162"/>
      <c r="V47" s="162"/>
      <c r="W47" s="162"/>
      <c r="X47" s="162"/>
      <c r="Y47" s="162"/>
      <c r="Z47" s="162"/>
      <c r="AA47" s="162"/>
      <c r="AB47" s="162"/>
      <c r="AC47" s="162"/>
      <c r="AD47" s="162"/>
    </row>
    <row r="48" spans="1:30">
      <c r="A48" s="93"/>
      <c r="B48" s="28"/>
      <c r="C48" s="28"/>
      <c r="D48" s="75"/>
      <c r="E48" s="2" t="str">
        <f t="shared" si="0"/>
        <v/>
      </c>
      <c r="F48" s="89" t="str">
        <f t="shared" si="1"/>
        <v/>
      </c>
      <c r="G48" s="102" t="str">
        <f t="shared" si="2"/>
        <v/>
      </c>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row>
    <row r="49" spans="1:30">
      <c r="A49" s="93"/>
      <c r="B49" s="28"/>
      <c r="C49" s="28"/>
      <c r="D49" s="75"/>
      <c r="E49" s="2" t="str">
        <f t="shared" si="0"/>
        <v/>
      </c>
      <c r="F49" s="89" t="str">
        <f t="shared" si="1"/>
        <v/>
      </c>
      <c r="G49" s="102" t="str">
        <f t="shared" si="2"/>
        <v/>
      </c>
      <c r="H49" s="162"/>
      <c r="I49" s="162"/>
      <c r="J49" s="162"/>
      <c r="K49" s="162"/>
      <c r="L49" s="163"/>
      <c r="M49" s="163"/>
      <c r="N49" s="162"/>
      <c r="O49" s="162"/>
      <c r="P49" s="162"/>
      <c r="Q49" s="162"/>
      <c r="R49" s="162"/>
      <c r="S49" s="162"/>
      <c r="T49" s="162"/>
      <c r="U49" s="162"/>
      <c r="V49" s="162"/>
      <c r="W49" s="162"/>
      <c r="X49" s="162"/>
      <c r="Y49" s="162"/>
      <c r="Z49" s="162"/>
      <c r="AA49" s="162"/>
      <c r="AB49" s="162"/>
      <c r="AC49" s="162"/>
      <c r="AD49" s="162"/>
    </row>
    <row r="50" spans="1:30">
      <c r="A50" s="93"/>
      <c r="B50" s="28"/>
      <c r="C50" s="28"/>
      <c r="D50" s="75"/>
      <c r="E50" s="2" t="str">
        <f t="shared" si="0"/>
        <v/>
      </c>
      <c r="F50" s="89" t="str">
        <f t="shared" si="1"/>
        <v/>
      </c>
      <c r="G50" s="102" t="str">
        <f t="shared" si="2"/>
        <v/>
      </c>
      <c r="H50" s="162"/>
      <c r="I50" s="162"/>
      <c r="J50" s="162"/>
      <c r="K50" s="162"/>
      <c r="L50" s="163"/>
      <c r="M50" s="163"/>
      <c r="N50" s="162"/>
      <c r="O50" s="162"/>
      <c r="P50" s="162"/>
      <c r="Q50" s="162"/>
      <c r="R50" s="162"/>
      <c r="S50" s="162"/>
      <c r="T50" s="162"/>
      <c r="U50" s="162"/>
      <c r="V50" s="162"/>
      <c r="W50" s="162"/>
      <c r="X50" s="162"/>
      <c r="Y50" s="162"/>
      <c r="Z50" s="162"/>
      <c r="AA50" s="162"/>
      <c r="AB50" s="162"/>
      <c r="AC50" s="162"/>
      <c r="AD50" s="162"/>
    </row>
    <row r="51" spans="1:30">
      <c r="A51" s="93"/>
      <c r="B51" s="28"/>
      <c r="C51" s="28"/>
      <c r="D51" s="75"/>
      <c r="E51" s="2" t="str">
        <f t="shared" si="0"/>
        <v/>
      </c>
      <c r="F51" s="89" t="str">
        <f t="shared" si="1"/>
        <v/>
      </c>
      <c r="G51" s="102" t="str">
        <f t="shared" si="2"/>
        <v/>
      </c>
      <c r="H51" s="162"/>
      <c r="I51" s="162"/>
      <c r="J51" s="162"/>
      <c r="K51" s="162"/>
      <c r="L51" s="163"/>
      <c r="M51" s="163"/>
      <c r="N51" s="162"/>
      <c r="O51" s="162"/>
      <c r="P51" s="162"/>
      <c r="Q51" s="162"/>
      <c r="R51" s="162"/>
      <c r="S51" s="162"/>
      <c r="T51" s="162"/>
      <c r="U51" s="162"/>
      <c r="V51" s="162"/>
      <c r="W51" s="162"/>
      <c r="X51" s="162"/>
      <c r="Y51" s="162"/>
      <c r="Z51" s="162"/>
      <c r="AA51" s="162"/>
      <c r="AB51" s="162"/>
      <c r="AC51" s="162"/>
      <c r="AD51" s="162"/>
    </row>
    <row r="52" spans="1:30" ht="13.5" thickBot="1">
      <c r="A52" s="94"/>
      <c r="B52" s="95"/>
      <c r="C52" s="95"/>
      <c r="D52" s="126"/>
      <c r="E52" s="79" t="str">
        <f t="shared" si="0"/>
        <v/>
      </c>
      <c r="F52" s="198" t="str">
        <f t="shared" si="1"/>
        <v/>
      </c>
      <c r="G52" s="103" t="str">
        <f t="shared" si="2"/>
        <v/>
      </c>
      <c r="H52" s="162"/>
      <c r="I52" s="162"/>
      <c r="J52" s="162"/>
      <c r="K52" s="162"/>
      <c r="L52" s="163"/>
      <c r="M52" s="163"/>
      <c r="N52" s="162"/>
      <c r="O52" s="162"/>
      <c r="P52" s="162"/>
      <c r="Q52" s="162"/>
      <c r="R52" s="162"/>
      <c r="S52" s="162"/>
      <c r="T52" s="162"/>
      <c r="U52" s="162"/>
      <c r="V52" s="162"/>
      <c r="W52" s="162"/>
      <c r="X52" s="162"/>
      <c r="Y52" s="162"/>
      <c r="Z52" s="162"/>
      <c r="AA52" s="162"/>
      <c r="AB52" s="162"/>
      <c r="AC52" s="162"/>
      <c r="AD52" s="162"/>
    </row>
    <row r="53" spans="1:30" ht="13.5" thickBot="1">
      <c r="A53" s="118" t="s">
        <v>404</v>
      </c>
      <c r="B53" s="38"/>
      <c r="C53" s="38"/>
      <c r="D53" s="129"/>
      <c r="E53" s="39">
        <f>SUM(E15:E52)</f>
        <v>0</v>
      </c>
      <c r="F53" s="105">
        <f>SUM(F15:F52)</f>
        <v>0</v>
      </c>
      <c r="G53" s="100">
        <f>SUM(G15:G52)</f>
        <v>0</v>
      </c>
      <c r="H53" s="162"/>
      <c r="I53" s="162"/>
      <c r="J53" s="162"/>
      <c r="K53" s="162"/>
      <c r="L53" s="163"/>
      <c r="M53" s="163"/>
      <c r="N53" s="162"/>
      <c r="O53" s="162"/>
      <c r="P53" s="162"/>
      <c r="Q53" s="162"/>
      <c r="R53" s="162"/>
      <c r="S53" s="162"/>
      <c r="T53" s="162"/>
      <c r="U53" s="162"/>
      <c r="V53" s="162"/>
      <c r="W53" s="162"/>
      <c r="X53" s="162"/>
      <c r="Y53" s="162"/>
      <c r="Z53" s="162"/>
      <c r="AA53" s="162"/>
      <c r="AB53" s="162"/>
      <c r="AC53" s="162"/>
      <c r="AD53" s="162"/>
    </row>
    <row r="54" spans="1:30">
      <c r="A54" s="4"/>
      <c r="B54" s="4"/>
      <c r="C54" s="4"/>
      <c r="D54" s="4"/>
      <c r="E54" s="4"/>
      <c r="F54" s="4"/>
      <c r="G54" s="4"/>
      <c r="H54" s="162"/>
      <c r="I54" s="162"/>
      <c r="J54" s="162"/>
      <c r="K54" s="162"/>
      <c r="L54" s="163"/>
      <c r="M54" s="163"/>
      <c r="N54" s="162"/>
      <c r="O54" s="162"/>
      <c r="P54" s="162"/>
      <c r="Q54" s="162"/>
      <c r="R54" s="162"/>
      <c r="S54" s="162"/>
      <c r="T54" s="162"/>
      <c r="U54" s="162"/>
      <c r="V54" s="162"/>
      <c r="W54" s="162"/>
      <c r="X54" s="162"/>
      <c r="Y54" s="162"/>
      <c r="Z54" s="162"/>
      <c r="AA54" s="162"/>
      <c r="AB54" s="162"/>
      <c r="AC54" s="162"/>
      <c r="AD54" s="162"/>
    </row>
    <row r="55" spans="1:30" ht="15" thickBot="1">
      <c r="A55" s="7" t="s">
        <v>435</v>
      </c>
      <c r="B55" s="4"/>
      <c r="C55" s="4"/>
      <c r="D55" s="4"/>
      <c r="E55" s="4"/>
      <c r="F55" s="4"/>
      <c r="G55" s="4"/>
      <c r="H55" s="162"/>
      <c r="I55" s="162"/>
      <c r="J55" s="162"/>
      <c r="K55" s="162"/>
      <c r="L55" s="163"/>
      <c r="M55" s="163"/>
      <c r="N55" s="162"/>
      <c r="O55" s="162"/>
      <c r="P55" s="162"/>
      <c r="Q55" s="162"/>
      <c r="R55" s="162"/>
      <c r="S55" s="162"/>
      <c r="T55" s="162"/>
      <c r="U55" s="162"/>
      <c r="V55" s="162"/>
      <c r="W55" s="162"/>
      <c r="X55" s="162"/>
      <c r="Y55" s="162"/>
      <c r="Z55" s="162"/>
      <c r="AA55" s="162"/>
      <c r="AB55" s="162"/>
      <c r="AC55" s="162"/>
      <c r="AD55" s="162"/>
    </row>
    <row r="56" spans="1:30" ht="27.95" customHeight="1" thickBot="1">
      <c r="A56" s="687" t="s">
        <v>284</v>
      </c>
      <c r="B56" s="986" t="s">
        <v>0</v>
      </c>
      <c r="C56" s="688" t="s">
        <v>602</v>
      </c>
      <c r="D56" s="663" t="s">
        <v>298</v>
      </c>
      <c r="E56" s="663" t="s">
        <v>285</v>
      </c>
      <c r="F56" s="663" t="s">
        <v>297</v>
      </c>
      <c r="G56" s="668" t="s">
        <v>1360</v>
      </c>
      <c r="H56" s="162"/>
      <c r="I56" s="162"/>
      <c r="J56" s="162"/>
      <c r="K56" s="162"/>
      <c r="L56" s="163"/>
      <c r="M56" s="163"/>
      <c r="N56" s="162"/>
      <c r="O56" s="162"/>
      <c r="P56" s="162"/>
      <c r="Q56" s="162"/>
      <c r="R56" s="162"/>
      <c r="S56" s="162"/>
      <c r="T56" s="162"/>
      <c r="U56" s="162"/>
      <c r="V56" s="162"/>
      <c r="W56" s="162"/>
      <c r="X56" s="162"/>
      <c r="Y56" s="162"/>
      <c r="Z56" s="162"/>
      <c r="AA56" s="162"/>
      <c r="AB56" s="162"/>
      <c r="AC56" s="162"/>
      <c r="AD56" s="162"/>
    </row>
    <row r="57" spans="1:30">
      <c r="A57" s="448" t="s">
        <v>7</v>
      </c>
      <c r="B57" s="449" t="s">
        <v>8</v>
      </c>
      <c r="C57" s="449" t="s">
        <v>266</v>
      </c>
      <c r="D57" s="450">
        <v>100</v>
      </c>
      <c r="E57" s="450">
        <f t="shared" ref="E57:E105" si="3">IF($C57="","",VLOOKUP($C57,Biz_Travel_Fctr,2,FALSE)*$D57)</f>
        <v>5.5</v>
      </c>
      <c r="F57" s="450">
        <f t="shared" ref="F57:F105" si="4">IF($C57="","",VLOOKUP($C57,Biz_Travel_Fctr,3,FALSE)*$D57)</f>
        <v>0.63</v>
      </c>
      <c r="G57" s="465">
        <f t="shared" ref="G57:G105" si="5">IF($C57="","",VLOOKUP($C57,Biz_Travel_Fctr,4,FALSE)*$D57)</f>
        <v>0.11</v>
      </c>
      <c r="H57" s="162"/>
      <c r="I57" s="162"/>
      <c r="J57" s="162"/>
      <c r="K57" s="162"/>
      <c r="L57" s="163"/>
      <c r="M57" s="163"/>
      <c r="N57" s="162"/>
      <c r="O57" s="162"/>
      <c r="P57" s="162"/>
      <c r="Q57" s="162"/>
      <c r="R57" s="162"/>
      <c r="S57" s="162"/>
      <c r="T57" s="162"/>
      <c r="U57" s="162"/>
      <c r="V57" s="162"/>
      <c r="W57" s="162"/>
      <c r="X57" s="162"/>
      <c r="Y57" s="162"/>
      <c r="Z57" s="162"/>
      <c r="AA57" s="162"/>
      <c r="AB57" s="162"/>
      <c r="AC57" s="162"/>
      <c r="AD57" s="162"/>
    </row>
    <row r="58" spans="1:30">
      <c r="A58" s="168"/>
      <c r="B58" s="170"/>
      <c r="C58" s="170"/>
      <c r="D58" s="171"/>
      <c r="E58" s="401" t="str">
        <f t="shared" si="3"/>
        <v/>
      </c>
      <c r="F58" s="164" t="str">
        <f t="shared" si="4"/>
        <v/>
      </c>
      <c r="G58" s="172" t="str">
        <f t="shared" si="5"/>
        <v/>
      </c>
      <c r="H58" s="162"/>
      <c r="I58" s="162"/>
      <c r="J58" s="162"/>
      <c r="K58" s="162"/>
      <c r="L58" s="163"/>
      <c r="M58" s="163"/>
      <c r="N58" s="162"/>
      <c r="O58" s="162"/>
      <c r="P58" s="162"/>
      <c r="Q58" s="162"/>
      <c r="R58" s="162"/>
      <c r="S58" s="162"/>
      <c r="T58" s="162"/>
      <c r="U58" s="162"/>
      <c r="V58" s="162"/>
      <c r="W58" s="162"/>
      <c r="X58" s="162"/>
      <c r="Y58" s="162"/>
      <c r="Z58" s="162"/>
      <c r="AA58" s="162"/>
      <c r="AB58" s="162"/>
      <c r="AC58" s="162"/>
      <c r="AD58" s="162"/>
    </row>
    <row r="59" spans="1:30">
      <c r="A59" s="93"/>
      <c r="B59" s="130"/>
      <c r="C59" s="130"/>
      <c r="D59" s="171"/>
      <c r="E59" s="2" t="str">
        <f t="shared" si="3"/>
        <v/>
      </c>
      <c r="F59" s="89" t="str">
        <f t="shared" si="4"/>
        <v/>
      </c>
      <c r="G59" s="102" t="str">
        <f t="shared" si="5"/>
        <v/>
      </c>
      <c r="H59" s="162"/>
      <c r="I59" s="162"/>
      <c r="J59" s="162"/>
      <c r="K59" s="162"/>
      <c r="L59" s="163"/>
      <c r="M59" s="163"/>
      <c r="N59" s="162"/>
      <c r="O59" s="162"/>
      <c r="P59" s="162"/>
      <c r="Q59" s="162"/>
      <c r="R59" s="162"/>
      <c r="S59" s="162"/>
      <c r="T59" s="162"/>
      <c r="U59" s="162"/>
      <c r="V59" s="162"/>
      <c r="W59" s="162"/>
      <c r="X59" s="162"/>
      <c r="Y59" s="162"/>
      <c r="Z59" s="162"/>
      <c r="AA59" s="162"/>
      <c r="AB59" s="162"/>
      <c r="AC59" s="162"/>
      <c r="AD59" s="162"/>
    </row>
    <row r="60" spans="1:30">
      <c r="A60" s="93"/>
      <c r="B60" s="130"/>
      <c r="C60" s="130"/>
      <c r="D60" s="171"/>
      <c r="E60" s="2" t="str">
        <f t="shared" si="3"/>
        <v/>
      </c>
      <c r="F60" s="89" t="str">
        <f t="shared" si="4"/>
        <v/>
      </c>
      <c r="G60" s="102" t="str">
        <f t="shared" si="5"/>
        <v/>
      </c>
      <c r="H60" s="162"/>
      <c r="I60" s="162"/>
      <c r="J60" s="162"/>
      <c r="K60" s="162"/>
      <c r="L60" s="163"/>
      <c r="M60" s="163"/>
      <c r="N60" s="162"/>
      <c r="O60" s="162"/>
      <c r="P60" s="162"/>
      <c r="Q60" s="162"/>
      <c r="R60" s="162"/>
      <c r="S60" s="162"/>
      <c r="T60" s="162"/>
      <c r="U60" s="162"/>
      <c r="V60" s="162"/>
      <c r="W60" s="162"/>
      <c r="X60" s="162"/>
      <c r="Y60" s="162"/>
      <c r="Z60" s="162"/>
      <c r="AA60" s="162"/>
      <c r="AB60" s="162"/>
      <c r="AC60" s="162"/>
      <c r="AD60" s="162"/>
    </row>
    <row r="61" spans="1:30">
      <c r="A61" s="93"/>
      <c r="B61" s="130"/>
      <c r="C61" s="130"/>
      <c r="D61" s="171"/>
      <c r="E61" s="2" t="str">
        <f t="shared" si="3"/>
        <v/>
      </c>
      <c r="F61" s="89" t="str">
        <f t="shared" si="4"/>
        <v/>
      </c>
      <c r="G61" s="102" t="str">
        <f t="shared" si="5"/>
        <v/>
      </c>
      <c r="H61" s="162"/>
      <c r="I61" s="162"/>
      <c r="J61" s="162"/>
      <c r="K61" s="162"/>
      <c r="L61" s="163"/>
      <c r="M61" s="163"/>
      <c r="N61" s="162"/>
      <c r="O61" s="162"/>
      <c r="P61" s="162"/>
      <c r="Q61" s="162"/>
      <c r="R61" s="162"/>
      <c r="S61" s="162"/>
      <c r="T61" s="162"/>
      <c r="U61" s="162"/>
      <c r="V61" s="162"/>
      <c r="W61" s="162"/>
      <c r="X61" s="162"/>
      <c r="Y61" s="162"/>
      <c r="Z61" s="162"/>
      <c r="AA61" s="162"/>
      <c r="AB61" s="162"/>
      <c r="AC61" s="162"/>
      <c r="AD61" s="162"/>
    </row>
    <row r="62" spans="1:30">
      <c r="A62" s="93"/>
      <c r="B62" s="130"/>
      <c r="C62" s="130"/>
      <c r="D62" s="171"/>
      <c r="E62" s="2" t="str">
        <f t="shared" si="3"/>
        <v/>
      </c>
      <c r="F62" s="89" t="str">
        <f t="shared" si="4"/>
        <v/>
      </c>
      <c r="G62" s="102" t="str">
        <f t="shared" si="5"/>
        <v/>
      </c>
      <c r="H62" s="162"/>
      <c r="I62" s="162"/>
      <c r="J62" s="162"/>
      <c r="K62" s="162"/>
      <c r="L62" s="163"/>
      <c r="M62" s="163"/>
      <c r="N62" s="162"/>
      <c r="O62" s="162"/>
      <c r="P62" s="162"/>
      <c r="Q62" s="162"/>
      <c r="R62" s="162"/>
      <c r="S62" s="162"/>
      <c r="T62" s="162"/>
      <c r="U62" s="162"/>
      <c r="V62" s="162"/>
      <c r="W62" s="162"/>
      <c r="X62" s="162"/>
      <c r="Y62" s="162"/>
      <c r="Z62" s="162"/>
      <c r="AA62" s="162"/>
      <c r="AB62" s="162"/>
      <c r="AC62" s="162"/>
      <c r="AD62" s="162"/>
    </row>
    <row r="63" spans="1:30">
      <c r="A63" s="93"/>
      <c r="B63" s="130"/>
      <c r="C63" s="130"/>
      <c r="D63" s="171"/>
      <c r="E63" s="2" t="str">
        <f t="shared" si="3"/>
        <v/>
      </c>
      <c r="F63" s="89" t="str">
        <f t="shared" si="4"/>
        <v/>
      </c>
      <c r="G63" s="102" t="str">
        <f t="shared" si="5"/>
        <v/>
      </c>
      <c r="H63" s="162"/>
      <c r="I63" s="162"/>
      <c r="J63" s="162"/>
      <c r="K63" s="162"/>
      <c r="L63" s="163"/>
      <c r="M63" s="163"/>
      <c r="N63" s="162"/>
      <c r="O63" s="162"/>
      <c r="P63" s="162"/>
      <c r="Q63" s="162"/>
      <c r="R63" s="162"/>
      <c r="S63" s="162"/>
      <c r="T63" s="162"/>
      <c r="U63" s="162"/>
      <c r="V63" s="162"/>
      <c r="W63" s="162"/>
      <c r="X63" s="162"/>
      <c r="Y63" s="162"/>
      <c r="Z63" s="162"/>
      <c r="AA63" s="162"/>
      <c r="AB63" s="162"/>
      <c r="AC63" s="162"/>
      <c r="AD63" s="162"/>
    </row>
    <row r="64" spans="1:30">
      <c r="A64" s="93"/>
      <c r="B64" s="130"/>
      <c r="C64" s="130"/>
      <c r="D64" s="171"/>
      <c r="E64" s="2" t="str">
        <f t="shared" si="3"/>
        <v/>
      </c>
      <c r="F64" s="89" t="str">
        <f t="shared" si="4"/>
        <v/>
      </c>
      <c r="G64" s="102" t="str">
        <f t="shared" si="5"/>
        <v/>
      </c>
      <c r="H64" s="162"/>
      <c r="I64" s="162"/>
      <c r="J64" s="162"/>
      <c r="K64" s="162"/>
      <c r="L64" s="163"/>
      <c r="M64" s="163"/>
      <c r="N64" s="162"/>
      <c r="O64" s="162"/>
      <c r="P64" s="162"/>
      <c r="Q64" s="162"/>
      <c r="R64" s="162"/>
      <c r="S64" s="162"/>
      <c r="T64" s="162"/>
      <c r="U64" s="162"/>
      <c r="V64" s="162"/>
      <c r="W64" s="162"/>
      <c r="X64" s="162"/>
      <c r="Y64" s="162"/>
      <c r="Z64" s="162"/>
      <c r="AA64" s="162"/>
      <c r="AB64" s="162"/>
      <c r="AC64" s="162"/>
      <c r="AD64" s="162"/>
    </row>
    <row r="65" spans="1:30">
      <c r="A65" s="93"/>
      <c r="B65" s="130"/>
      <c r="C65" s="130"/>
      <c r="D65" s="98"/>
      <c r="E65" s="2" t="str">
        <f t="shared" si="3"/>
        <v/>
      </c>
      <c r="F65" s="89" t="str">
        <f t="shared" si="4"/>
        <v/>
      </c>
      <c r="G65" s="102" t="str">
        <f t="shared" si="5"/>
        <v/>
      </c>
      <c r="H65" s="162"/>
      <c r="I65" s="162"/>
      <c r="J65" s="162"/>
      <c r="K65" s="162"/>
      <c r="L65" s="163"/>
      <c r="M65" s="163"/>
      <c r="N65" s="162"/>
      <c r="O65" s="162"/>
      <c r="P65" s="162"/>
      <c r="Q65" s="162"/>
      <c r="R65" s="162"/>
      <c r="S65" s="162"/>
      <c r="T65" s="162"/>
      <c r="U65" s="162"/>
      <c r="V65" s="162"/>
      <c r="W65" s="162"/>
      <c r="X65" s="162"/>
      <c r="Y65" s="162"/>
      <c r="Z65" s="162"/>
      <c r="AA65" s="162"/>
      <c r="AB65" s="162"/>
      <c r="AC65" s="162"/>
      <c r="AD65" s="162"/>
    </row>
    <row r="66" spans="1:30">
      <c r="A66" s="93"/>
      <c r="B66" s="130"/>
      <c r="C66" s="130"/>
      <c r="D66" s="98"/>
      <c r="E66" s="2" t="str">
        <f t="shared" si="3"/>
        <v/>
      </c>
      <c r="F66" s="89" t="str">
        <f t="shared" si="4"/>
        <v/>
      </c>
      <c r="G66" s="102" t="str">
        <f t="shared" si="5"/>
        <v/>
      </c>
      <c r="H66" s="162"/>
      <c r="I66" s="162"/>
      <c r="J66" s="162"/>
      <c r="K66" s="162"/>
      <c r="L66" s="163"/>
      <c r="M66" s="163"/>
      <c r="N66" s="162"/>
      <c r="O66" s="162"/>
      <c r="P66" s="162"/>
      <c r="Q66" s="162"/>
      <c r="R66" s="162"/>
      <c r="S66" s="162"/>
      <c r="T66" s="162"/>
      <c r="U66" s="162"/>
      <c r="V66" s="162"/>
      <c r="W66" s="162"/>
      <c r="X66" s="162"/>
      <c r="Y66" s="162"/>
      <c r="Z66" s="162"/>
      <c r="AA66" s="162"/>
      <c r="AB66" s="162"/>
      <c r="AC66" s="162"/>
      <c r="AD66" s="162"/>
    </row>
    <row r="67" spans="1:30">
      <c r="A67" s="93"/>
      <c r="B67" s="130"/>
      <c r="C67" s="130"/>
      <c r="D67" s="98"/>
      <c r="E67" s="2" t="str">
        <f t="shared" si="3"/>
        <v/>
      </c>
      <c r="F67" s="89" t="str">
        <f t="shared" si="4"/>
        <v/>
      </c>
      <c r="G67" s="102" t="str">
        <f t="shared" si="5"/>
        <v/>
      </c>
      <c r="H67" s="162"/>
      <c r="I67" s="162"/>
      <c r="J67" s="162"/>
      <c r="K67" s="162"/>
      <c r="L67" s="163"/>
      <c r="M67" s="163"/>
      <c r="N67" s="162"/>
      <c r="O67" s="162"/>
      <c r="P67" s="162"/>
      <c r="Q67" s="162"/>
      <c r="R67" s="162"/>
      <c r="S67" s="162"/>
      <c r="T67" s="162"/>
      <c r="U67" s="162"/>
      <c r="V67" s="162"/>
      <c r="W67" s="162"/>
      <c r="X67" s="162"/>
      <c r="Y67" s="162"/>
      <c r="Z67" s="162"/>
      <c r="AA67" s="162"/>
      <c r="AB67" s="162"/>
      <c r="AC67" s="162"/>
      <c r="AD67" s="162"/>
    </row>
    <row r="68" spans="1:30">
      <c r="A68" s="93"/>
      <c r="B68" s="130"/>
      <c r="C68" s="130"/>
      <c r="D68" s="98"/>
      <c r="E68" s="2" t="str">
        <f t="shared" si="3"/>
        <v/>
      </c>
      <c r="F68" s="89" t="str">
        <f t="shared" si="4"/>
        <v/>
      </c>
      <c r="G68" s="102" t="str">
        <f t="shared" si="5"/>
        <v/>
      </c>
      <c r="H68" s="162"/>
      <c r="I68" s="162"/>
      <c r="J68" s="162"/>
      <c r="K68" s="162"/>
      <c r="L68" s="163"/>
      <c r="M68" s="163"/>
      <c r="N68" s="162"/>
      <c r="O68" s="162"/>
      <c r="P68" s="162"/>
      <c r="Q68" s="162"/>
      <c r="R68" s="162"/>
      <c r="S68" s="162"/>
      <c r="T68" s="162"/>
      <c r="U68" s="162"/>
      <c r="V68" s="162"/>
      <c r="W68" s="162"/>
      <c r="X68" s="162"/>
      <c r="Y68" s="162"/>
      <c r="Z68" s="162"/>
      <c r="AA68" s="162"/>
      <c r="AB68" s="162"/>
      <c r="AC68" s="162"/>
      <c r="AD68" s="162"/>
    </row>
    <row r="69" spans="1:30">
      <c r="A69" s="93"/>
      <c r="B69" s="130"/>
      <c r="C69" s="130"/>
      <c r="D69" s="98"/>
      <c r="E69" s="2" t="str">
        <f t="shared" si="3"/>
        <v/>
      </c>
      <c r="F69" s="89" t="str">
        <f t="shared" si="4"/>
        <v/>
      </c>
      <c r="G69" s="102" t="str">
        <f t="shared" si="5"/>
        <v/>
      </c>
      <c r="H69" s="162"/>
      <c r="I69" s="162"/>
      <c r="J69" s="162"/>
      <c r="K69" s="162"/>
      <c r="L69" s="163"/>
      <c r="M69" s="163"/>
      <c r="N69" s="162"/>
      <c r="O69" s="162"/>
      <c r="P69" s="162"/>
      <c r="Q69" s="162"/>
      <c r="R69" s="162"/>
      <c r="S69" s="162"/>
      <c r="T69" s="162"/>
      <c r="U69" s="162"/>
      <c r="V69" s="162"/>
      <c r="W69" s="162"/>
      <c r="X69" s="162"/>
      <c r="Y69" s="162"/>
      <c r="Z69" s="162"/>
      <c r="AA69" s="162"/>
      <c r="AB69" s="162"/>
      <c r="AC69" s="162"/>
      <c r="AD69" s="162"/>
    </row>
    <row r="70" spans="1:30">
      <c r="A70" s="93"/>
      <c r="B70" s="130"/>
      <c r="C70" s="130"/>
      <c r="D70" s="98"/>
      <c r="E70" s="2" t="str">
        <f t="shared" si="3"/>
        <v/>
      </c>
      <c r="F70" s="89" t="str">
        <f t="shared" si="4"/>
        <v/>
      </c>
      <c r="G70" s="102" t="str">
        <f t="shared" si="5"/>
        <v/>
      </c>
      <c r="H70" s="162"/>
      <c r="I70" s="162"/>
      <c r="J70" s="162"/>
      <c r="K70" s="162"/>
      <c r="L70" s="163"/>
      <c r="M70" s="163"/>
      <c r="N70" s="162"/>
      <c r="O70" s="162"/>
      <c r="P70" s="162"/>
      <c r="Q70" s="162"/>
      <c r="R70" s="162"/>
      <c r="S70" s="162"/>
      <c r="T70" s="162"/>
      <c r="U70" s="162"/>
      <c r="V70" s="162"/>
      <c r="W70" s="162"/>
      <c r="X70" s="162"/>
      <c r="Y70" s="162"/>
      <c r="Z70" s="162"/>
      <c r="AA70" s="162"/>
      <c r="AB70" s="162"/>
      <c r="AC70" s="162"/>
      <c r="AD70" s="162"/>
    </row>
    <row r="71" spans="1:30">
      <c r="A71" s="93"/>
      <c r="B71" s="130"/>
      <c r="C71" s="130"/>
      <c r="D71" s="98"/>
      <c r="E71" s="2" t="str">
        <f t="shared" si="3"/>
        <v/>
      </c>
      <c r="F71" s="89" t="str">
        <f t="shared" si="4"/>
        <v/>
      </c>
      <c r="G71" s="102" t="str">
        <f t="shared" si="5"/>
        <v/>
      </c>
      <c r="H71" s="162"/>
      <c r="I71" s="162"/>
      <c r="J71" s="162"/>
      <c r="K71" s="162"/>
      <c r="L71" s="163"/>
      <c r="M71" s="163"/>
      <c r="N71" s="162"/>
      <c r="O71" s="162"/>
      <c r="P71" s="162"/>
      <c r="Q71" s="162"/>
      <c r="R71" s="162"/>
      <c r="S71" s="162"/>
      <c r="T71" s="162"/>
      <c r="U71" s="162"/>
      <c r="V71" s="162"/>
      <c r="W71" s="162"/>
      <c r="X71" s="162"/>
      <c r="Y71" s="162"/>
      <c r="Z71" s="162"/>
      <c r="AA71" s="162"/>
      <c r="AB71" s="162"/>
      <c r="AC71" s="162"/>
      <c r="AD71" s="162"/>
    </row>
    <row r="72" spans="1:30">
      <c r="A72" s="93"/>
      <c r="B72" s="130"/>
      <c r="C72" s="130"/>
      <c r="D72" s="98"/>
      <c r="E72" s="2" t="str">
        <f t="shared" si="3"/>
        <v/>
      </c>
      <c r="F72" s="89" t="str">
        <f t="shared" si="4"/>
        <v/>
      </c>
      <c r="G72" s="102" t="str">
        <f t="shared" si="5"/>
        <v/>
      </c>
      <c r="H72" s="162"/>
      <c r="I72" s="162"/>
      <c r="J72" s="162"/>
      <c r="K72" s="162"/>
      <c r="L72" s="163"/>
      <c r="M72" s="163"/>
      <c r="N72" s="162"/>
      <c r="O72" s="162"/>
      <c r="P72" s="162"/>
      <c r="Q72" s="162"/>
      <c r="R72" s="162"/>
      <c r="S72" s="162"/>
      <c r="T72" s="162"/>
      <c r="U72" s="162"/>
      <c r="V72" s="162"/>
      <c r="W72" s="162"/>
      <c r="X72" s="162"/>
      <c r="Y72" s="162"/>
      <c r="Z72" s="162"/>
      <c r="AA72" s="162"/>
      <c r="AB72" s="162"/>
      <c r="AC72" s="162"/>
      <c r="AD72" s="162"/>
    </row>
    <row r="73" spans="1:30">
      <c r="A73" s="93"/>
      <c r="B73" s="130"/>
      <c r="C73" s="130"/>
      <c r="D73" s="98"/>
      <c r="E73" s="2" t="str">
        <f t="shared" si="3"/>
        <v/>
      </c>
      <c r="F73" s="89" t="str">
        <f t="shared" si="4"/>
        <v/>
      </c>
      <c r="G73" s="102" t="str">
        <f t="shared" si="5"/>
        <v/>
      </c>
      <c r="H73" s="162"/>
      <c r="I73" s="162"/>
      <c r="J73" s="162"/>
      <c r="K73" s="162"/>
      <c r="L73" s="163"/>
      <c r="M73" s="163"/>
      <c r="N73" s="162"/>
      <c r="O73" s="162"/>
      <c r="P73" s="162"/>
      <c r="Q73" s="162"/>
      <c r="R73" s="162"/>
      <c r="S73" s="162"/>
      <c r="T73" s="162"/>
      <c r="U73" s="162"/>
      <c r="V73" s="162"/>
      <c r="W73" s="162"/>
      <c r="X73" s="162"/>
      <c r="Y73" s="162"/>
      <c r="Z73" s="162"/>
      <c r="AA73" s="162"/>
      <c r="AB73" s="162"/>
      <c r="AC73" s="162"/>
      <c r="AD73" s="162"/>
    </row>
    <row r="74" spans="1:30">
      <c r="A74" s="93"/>
      <c r="B74" s="130"/>
      <c r="C74" s="130"/>
      <c r="D74" s="98"/>
      <c r="E74" s="2" t="str">
        <f t="shared" si="3"/>
        <v/>
      </c>
      <c r="F74" s="89" t="str">
        <f t="shared" si="4"/>
        <v/>
      </c>
      <c r="G74" s="102" t="str">
        <f t="shared" si="5"/>
        <v/>
      </c>
      <c r="H74" s="162"/>
      <c r="I74" s="162"/>
      <c r="J74" s="162"/>
      <c r="K74" s="162"/>
      <c r="L74" s="163"/>
      <c r="M74" s="163"/>
      <c r="N74" s="162"/>
      <c r="O74" s="162"/>
      <c r="P74" s="162"/>
      <c r="Q74" s="162"/>
      <c r="R74" s="162"/>
      <c r="S74" s="162"/>
      <c r="T74" s="162"/>
      <c r="U74" s="162"/>
      <c r="V74" s="162"/>
      <c r="W74" s="162"/>
      <c r="X74" s="162"/>
      <c r="Y74" s="162"/>
      <c r="Z74" s="162"/>
      <c r="AA74" s="162"/>
      <c r="AB74" s="162"/>
      <c r="AC74" s="162"/>
      <c r="AD74" s="162"/>
    </row>
    <row r="75" spans="1:30">
      <c r="A75" s="93"/>
      <c r="B75" s="130"/>
      <c r="C75" s="130"/>
      <c r="D75" s="98"/>
      <c r="E75" s="2" t="str">
        <f t="shared" si="3"/>
        <v/>
      </c>
      <c r="F75" s="89" t="str">
        <f t="shared" si="4"/>
        <v/>
      </c>
      <c r="G75" s="102" t="str">
        <f t="shared" si="5"/>
        <v/>
      </c>
      <c r="H75" s="162"/>
      <c r="I75" s="162"/>
      <c r="J75" s="162"/>
      <c r="K75" s="162"/>
      <c r="L75" s="163"/>
      <c r="M75" s="163"/>
      <c r="N75" s="162"/>
      <c r="O75" s="162"/>
      <c r="P75" s="162"/>
      <c r="Q75" s="162"/>
      <c r="R75" s="162"/>
      <c r="S75" s="162"/>
      <c r="T75" s="162"/>
      <c r="U75" s="162"/>
      <c r="V75" s="162"/>
      <c r="W75" s="162"/>
      <c r="X75" s="162"/>
      <c r="Y75" s="162"/>
      <c r="Z75" s="162"/>
      <c r="AA75" s="162"/>
      <c r="AB75" s="162"/>
      <c r="AC75" s="162"/>
      <c r="AD75" s="162"/>
    </row>
    <row r="76" spans="1:30">
      <c r="A76" s="93"/>
      <c r="B76" s="130"/>
      <c r="C76" s="130"/>
      <c r="D76" s="98"/>
      <c r="E76" s="2" t="str">
        <f t="shared" si="3"/>
        <v/>
      </c>
      <c r="F76" s="89" t="str">
        <f t="shared" si="4"/>
        <v/>
      </c>
      <c r="G76" s="102" t="str">
        <f t="shared" si="5"/>
        <v/>
      </c>
      <c r="H76" s="162"/>
      <c r="I76" s="162"/>
      <c r="J76" s="162"/>
      <c r="K76" s="162"/>
      <c r="L76" s="163"/>
      <c r="M76" s="163"/>
      <c r="N76" s="162"/>
      <c r="O76" s="162"/>
      <c r="P76" s="162"/>
      <c r="Q76" s="162"/>
      <c r="R76" s="162"/>
      <c r="S76" s="162"/>
      <c r="T76" s="162"/>
      <c r="U76" s="162"/>
      <c r="V76" s="162"/>
      <c r="W76" s="162"/>
      <c r="X76" s="162"/>
      <c r="Y76" s="162"/>
      <c r="Z76" s="162"/>
      <c r="AA76" s="162"/>
      <c r="AB76" s="162"/>
      <c r="AC76" s="162"/>
      <c r="AD76" s="162"/>
    </row>
    <row r="77" spans="1:30">
      <c r="A77" s="93"/>
      <c r="B77" s="130"/>
      <c r="C77" s="130"/>
      <c r="D77" s="98"/>
      <c r="E77" s="2" t="str">
        <f t="shared" si="3"/>
        <v/>
      </c>
      <c r="F77" s="89" t="str">
        <f t="shared" si="4"/>
        <v/>
      </c>
      <c r="G77" s="102" t="str">
        <f t="shared" si="5"/>
        <v/>
      </c>
      <c r="H77" s="162"/>
      <c r="I77" s="162"/>
      <c r="J77" s="162"/>
      <c r="K77" s="162"/>
      <c r="L77" s="163"/>
      <c r="M77" s="163"/>
      <c r="N77" s="162"/>
      <c r="O77" s="162"/>
      <c r="P77" s="162"/>
      <c r="Q77" s="162"/>
      <c r="R77" s="162"/>
      <c r="S77" s="162"/>
      <c r="T77" s="162"/>
      <c r="U77" s="162"/>
      <c r="V77" s="162"/>
      <c r="W77" s="162"/>
      <c r="X77" s="162"/>
      <c r="Y77" s="162"/>
      <c r="Z77" s="162"/>
      <c r="AA77" s="162"/>
      <c r="AB77" s="162"/>
      <c r="AC77" s="162"/>
      <c r="AD77" s="162"/>
    </row>
    <row r="78" spans="1:30">
      <c r="A78" s="93"/>
      <c r="B78" s="130"/>
      <c r="C78" s="130"/>
      <c r="D78" s="98"/>
      <c r="E78" s="2" t="str">
        <f t="shared" si="3"/>
        <v/>
      </c>
      <c r="F78" s="89" t="str">
        <f t="shared" si="4"/>
        <v/>
      </c>
      <c r="G78" s="102" t="str">
        <f t="shared" si="5"/>
        <v/>
      </c>
      <c r="H78" s="162"/>
      <c r="I78" s="162"/>
      <c r="J78" s="162"/>
      <c r="K78" s="162"/>
      <c r="L78" s="163"/>
      <c r="M78" s="163"/>
      <c r="N78" s="162"/>
      <c r="O78" s="162"/>
      <c r="P78" s="162"/>
      <c r="Q78" s="162"/>
      <c r="R78" s="162"/>
      <c r="S78" s="162"/>
      <c r="T78" s="162"/>
      <c r="U78" s="162"/>
      <c r="V78" s="162"/>
      <c r="W78" s="162"/>
      <c r="X78" s="162"/>
      <c r="Y78" s="162"/>
      <c r="Z78" s="162"/>
      <c r="AA78" s="162"/>
      <c r="AB78" s="162"/>
      <c r="AC78" s="162"/>
      <c r="AD78" s="162"/>
    </row>
    <row r="79" spans="1:30">
      <c r="A79" s="93"/>
      <c r="B79" s="130"/>
      <c r="C79" s="130"/>
      <c r="D79" s="98"/>
      <c r="E79" s="2" t="str">
        <f t="shared" si="3"/>
        <v/>
      </c>
      <c r="F79" s="89" t="str">
        <f t="shared" si="4"/>
        <v/>
      </c>
      <c r="G79" s="102" t="str">
        <f t="shared" si="5"/>
        <v/>
      </c>
      <c r="H79" s="162"/>
      <c r="I79" s="162"/>
      <c r="J79" s="162"/>
      <c r="K79" s="162"/>
      <c r="L79" s="163"/>
      <c r="M79" s="163"/>
      <c r="N79" s="162"/>
      <c r="O79" s="162"/>
      <c r="P79" s="162"/>
      <c r="Q79" s="162"/>
      <c r="R79" s="162"/>
      <c r="S79" s="162"/>
      <c r="T79" s="162"/>
      <c r="U79" s="162"/>
      <c r="V79" s="162"/>
      <c r="W79" s="162"/>
      <c r="X79" s="162"/>
      <c r="Y79" s="162"/>
      <c r="Z79" s="162"/>
      <c r="AA79" s="162"/>
      <c r="AB79" s="162"/>
      <c r="AC79" s="162"/>
      <c r="AD79" s="162"/>
    </row>
    <row r="80" spans="1:30">
      <c r="A80" s="93"/>
      <c r="B80" s="130"/>
      <c r="C80" s="130"/>
      <c r="D80" s="98"/>
      <c r="E80" s="2" t="str">
        <f t="shared" si="3"/>
        <v/>
      </c>
      <c r="F80" s="89" t="str">
        <f t="shared" si="4"/>
        <v/>
      </c>
      <c r="G80" s="102" t="str">
        <f t="shared" si="5"/>
        <v/>
      </c>
      <c r="H80" s="162"/>
      <c r="I80" s="162"/>
      <c r="J80" s="162"/>
      <c r="K80" s="162"/>
      <c r="L80" s="163"/>
      <c r="M80" s="163"/>
      <c r="N80" s="162"/>
      <c r="O80" s="162"/>
      <c r="P80" s="162"/>
      <c r="Q80" s="162"/>
      <c r="R80" s="162"/>
      <c r="S80" s="162"/>
      <c r="T80" s="162"/>
      <c r="U80" s="162"/>
      <c r="V80" s="162"/>
      <c r="W80" s="162"/>
      <c r="X80" s="162"/>
      <c r="Y80" s="162"/>
      <c r="Z80" s="162"/>
      <c r="AA80" s="162"/>
      <c r="AB80" s="162"/>
      <c r="AC80" s="162"/>
      <c r="AD80" s="162"/>
    </row>
    <row r="81" spans="1:30">
      <c r="A81" s="93"/>
      <c r="B81" s="130"/>
      <c r="C81" s="130"/>
      <c r="D81" s="98"/>
      <c r="E81" s="2" t="str">
        <f t="shared" si="3"/>
        <v/>
      </c>
      <c r="F81" s="89" t="str">
        <f t="shared" si="4"/>
        <v/>
      </c>
      <c r="G81" s="102" t="str">
        <f t="shared" si="5"/>
        <v/>
      </c>
      <c r="H81" s="162"/>
      <c r="I81" s="162"/>
      <c r="J81" s="162"/>
      <c r="K81" s="162"/>
      <c r="L81" s="163"/>
      <c r="M81" s="163"/>
      <c r="N81" s="162"/>
      <c r="O81" s="162"/>
      <c r="P81" s="162"/>
      <c r="Q81" s="162"/>
      <c r="R81" s="162"/>
      <c r="S81" s="162"/>
      <c r="T81" s="162"/>
      <c r="U81" s="162"/>
      <c r="V81" s="162"/>
      <c r="W81" s="162"/>
      <c r="X81" s="162"/>
      <c r="Y81" s="162"/>
      <c r="Z81" s="162"/>
      <c r="AA81" s="162"/>
      <c r="AB81" s="162"/>
      <c r="AC81" s="162"/>
      <c r="AD81" s="162"/>
    </row>
    <row r="82" spans="1:30">
      <c r="A82" s="93"/>
      <c r="B82" s="130"/>
      <c r="C82" s="130"/>
      <c r="D82" s="98"/>
      <c r="E82" s="2" t="str">
        <f t="shared" si="3"/>
        <v/>
      </c>
      <c r="F82" s="89" t="str">
        <f t="shared" si="4"/>
        <v/>
      </c>
      <c r="G82" s="102" t="str">
        <f t="shared" si="5"/>
        <v/>
      </c>
      <c r="H82" s="162"/>
      <c r="I82" s="162"/>
      <c r="J82" s="162"/>
      <c r="K82" s="162"/>
      <c r="L82" s="163"/>
      <c r="M82" s="163"/>
      <c r="N82" s="162"/>
      <c r="O82" s="162"/>
      <c r="P82" s="162"/>
      <c r="Q82" s="162"/>
      <c r="R82" s="162"/>
      <c r="S82" s="162"/>
      <c r="T82" s="162"/>
      <c r="U82" s="162"/>
      <c r="V82" s="162"/>
      <c r="W82" s="162"/>
      <c r="X82" s="162"/>
      <c r="Y82" s="162"/>
      <c r="Z82" s="162"/>
      <c r="AA82" s="162"/>
      <c r="AB82" s="162"/>
      <c r="AC82" s="162"/>
      <c r="AD82" s="162"/>
    </row>
    <row r="83" spans="1:30">
      <c r="A83" s="93"/>
      <c r="B83" s="130"/>
      <c r="C83" s="130"/>
      <c r="D83" s="98"/>
      <c r="E83" s="2" t="str">
        <f t="shared" si="3"/>
        <v/>
      </c>
      <c r="F83" s="89" t="str">
        <f t="shared" si="4"/>
        <v/>
      </c>
      <c r="G83" s="102" t="str">
        <f t="shared" si="5"/>
        <v/>
      </c>
      <c r="H83" s="162"/>
      <c r="I83" s="162"/>
      <c r="J83" s="162"/>
      <c r="K83" s="162"/>
      <c r="L83" s="163"/>
      <c r="M83" s="163"/>
      <c r="N83" s="162"/>
      <c r="O83" s="162"/>
      <c r="P83" s="162"/>
      <c r="Q83" s="162"/>
      <c r="R83" s="162"/>
      <c r="S83" s="162"/>
      <c r="T83" s="162"/>
      <c r="U83" s="162"/>
      <c r="V83" s="162"/>
      <c r="W83" s="162"/>
      <c r="X83" s="162"/>
      <c r="Y83" s="162"/>
      <c r="Z83" s="162"/>
      <c r="AA83" s="162"/>
      <c r="AB83" s="162"/>
      <c r="AC83" s="162"/>
      <c r="AD83" s="162"/>
    </row>
    <row r="84" spans="1:30">
      <c r="A84" s="93"/>
      <c r="B84" s="130"/>
      <c r="C84" s="130"/>
      <c r="D84" s="98"/>
      <c r="E84" s="2" t="str">
        <f t="shared" si="3"/>
        <v/>
      </c>
      <c r="F84" s="89" t="str">
        <f t="shared" si="4"/>
        <v/>
      </c>
      <c r="G84" s="102" t="str">
        <f t="shared" si="5"/>
        <v/>
      </c>
      <c r="H84" s="162"/>
      <c r="I84" s="162"/>
      <c r="J84" s="162"/>
      <c r="K84" s="162"/>
      <c r="L84" s="163"/>
      <c r="M84" s="163"/>
      <c r="N84" s="162"/>
      <c r="O84" s="162"/>
      <c r="P84" s="162"/>
      <c r="Q84" s="162"/>
      <c r="R84" s="162"/>
      <c r="S84" s="162"/>
      <c r="T84" s="162"/>
      <c r="U84" s="162"/>
      <c r="V84" s="162"/>
      <c r="W84" s="162"/>
      <c r="X84" s="162"/>
      <c r="Y84" s="162"/>
      <c r="Z84" s="162"/>
      <c r="AA84" s="162"/>
      <c r="AB84" s="162"/>
      <c r="AC84" s="162"/>
      <c r="AD84" s="162"/>
    </row>
    <row r="85" spans="1:30">
      <c r="A85" s="93"/>
      <c r="B85" s="130"/>
      <c r="C85" s="130"/>
      <c r="D85" s="98"/>
      <c r="E85" s="2" t="str">
        <f t="shared" si="3"/>
        <v/>
      </c>
      <c r="F85" s="89" t="str">
        <f t="shared" si="4"/>
        <v/>
      </c>
      <c r="G85" s="102" t="str">
        <f t="shared" si="5"/>
        <v/>
      </c>
      <c r="H85" s="162"/>
      <c r="I85" s="162"/>
      <c r="J85" s="162"/>
      <c r="K85" s="162"/>
      <c r="L85" s="163"/>
      <c r="M85" s="163"/>
      <c r="N85" s="162"/>
      <c r="O85" s="162"/>
      <c r="P85" s="162"/>
      <c r="Q85" s="162"/>
      <c r="R85" s="162"/>
      <c r="S85" s="162"/>
      <c r="T85" s="162"/>
      <c r="U85" s="162"/>
      <c r="V85" s="162"/>
      <c r="W85" s="162"/>
      <c r="X85" s="162"/>
      <c r="Y85" s="162"/>
      <c r="Z85" s="162"/>
      <c r="AA85" s="162"/>
      <c r="AB85" s="162"/>
      <c r="AC85" s="162"/>
      <c r="AD85" s="162"/>
    </row>
    <row r="86" spans="1:30">
      <c r="A86" s="93"/>
      <c r="B86" s="130"/>
      <c r="C86" s="130"/>
      <c r="D86" s="98"/>
      <c r="E86" s="2" t="str">
        <f t="shared" si="3"/>
        <v/>
      </c>
      <c r="F86" s="89" t="str">
        <f t="shared" si="4"/>
        <v/>
      </c>
      <c r="G86" s="102" t="str">
        <f t="shared" si="5"/>
        <v/>
      </c>
      <c r="H86" s="162"/>
      <c r="I86" s="162"/>
      <c r="J86" s="162"/>
      <c r="K86" s="162"/>
      <c r="L86" s="163"/>
      <c r="M86" s="163"/>
      <c r="N86" s="162"/>
      <c r="O86" s="162"/>
      <c r="P86" s="162"/>
      <c r="Q86" s="162"/>
      <c r="R86" s="162"/>
      <c r="S86" s="162"/>
      <c r="T86" s="162"/>
      <c r="U86" s="162"/>
      <c r="V86" s="162"/>
      <c r="W86" s="162"/>
      <c r="X86" s="162"/>
      <c r="Y86" s="162"/>
      <c r="Z86" s="162"/>
      <c r="AA86" s="162"/>
      <c r="AB86" s="162"/>
      <c r="AC86" s="162"/>
      <c r="AD86" s="162"/>
    </row>
    <row r="87" spans="1:30">
      <c r="A87" s="93"/>
      <c r="B87" s="130"/>
      <c r="C87" s="130"/>
      <c r="D87" s="98"/>
      <c r="E87" s="2" t="str">
        <f t="shared" si="3"/>
        <v/>
      </c>
      <c r="F87" s="89" t="str">
        <f t="shared" si="4"/>
        <v/>
      </c>
      <c r="G87" s="102" t="str">
        <f t="shared" si="5"/>
        <v/>
      </c>
      <c r="H87" s="162"/>
      <c r="I87" s="162"/>
      <c r="J87" s="162"/>
      <c r="K87" s="162"/>
      <c r="L87" s="163"/>
      <c r="M87" s="163"/>
      <c r="N87" s="162"/>
      <c r="O87" s="162"/>
      <c r="P87" s="162"/>
      <c r="Q87" s="162"/>
      <c r="R87" s="162"/>
      <c r="S87" s="162"/>
      <c r="T87" s="162"/>
      <c r="U87" s="162"/>
      <c r="V87" s="162"/>
      <c r="W87" s="162"/>
      <c r="X87" s="162"/>
      <c r="Y87" s="162"/>
      <c r="Z87" s="162"/>
      <c r="AA87" s="162"/>
      <c r="AB87" s="162"/>
      <c r="AC87" s="162"/>
      <c r="AD87" s="162"/>
    </row>
    <row r="88" spans="1:30">
      <c r="A88" s="93"/>
      <c r="B88" s="130"/>
      <c r="C88" s="130"/>
      <c r="D88" s="98"/>
      <c r="E88" s="2" t="str">
        <f t="shared" si="3"/>
        <v/>
      </c>
      <c r="F88" s="89" t="str">
        <f t="shared" si="4"/>
        <v/>
      </c>
      <c r="G88" s="102" t="str">
        <f t="shared" si="5"/>
        <v/>
      </c>
      <c r="H88" s="162"/>
      <c r="I88" s="162"/>
      <c r="J88" s="162"/>
      <c r="K88" s="162"/>
      <c r="L88" s="163"/>
      <c r="M88" s="163"/>
      <c r="N88" s="162"/>
      <c r="O88" s="162"/>
      <c r="P88" s="162"/>
      <c r="Q88" s="162"/>
      <c r="R88" s="162"/>
      <c r="S88" s="162"/>
      <c r="T88" s="162"/>
      <c r="U88" s="162"/>
      <c r="V88" s="162"/>
      <c r="W88" s="162"/>
      <c r="X88" s="162"/>
      <c r="Y88" s="162"/>
      <c r="Z88" s="162"/>
      <c r="AA88" s="162"/>
      <c r="AB88" s="162"/>
      <c r="AC88" s="162"/>
      <c r="AD88" s="162"/>
    </row>
    <row r="89" spans="1:30">
      <c r="A89" s="93"/>
      <c r="B89" s="130"/>
      <c r="C89" s="130"/>
      <c r="D89" s="98"/>
      <c r="E89" s="2" t="str">
        <f t="shared" si="3"/>
        <v/>
      </c>
      <c r="F89" s="89" t="str">
        <f t="shared" si="4"/>
        <v/>
      </c>
      <c r="G89" s="102" t="str">
        <f t="shared" si="5"/>
        <v/>
      </c>
      <c r="H89" s="162"/>
      <c r="I89" s="162"/>
      <c r="J89" s="162"/>
      <c r="K89" s="162"/>
      <c r="L89" s="163"/>
      <c r="M89" s="163"/>
      <c r="N89" s="162"/>
      <c r="O89" s="162"/>
      <c r="P89" s="162"/>
      <c r="Q89" s="162"/>
      <c r="R89" s="162"/>
      <c r="S89" s="162"/>
      <c r="T89" s="162"/>
      <c r="U89" s="162"/>
      <c r="V89" s="162"/>
      <c r="W89" s="162"/>
      <c r="X89" s="162"/>
      <c r="Y89" s="162"/>
      <c r="Z89" s="162"/>
      <c r="AA89" s="162"/>
      <c r="AB89" s="162"/>
      <c r="AC89" s="162"/>
      <c r="AD89" s="162"/>
    </row>
    <row r="90" spans="1:30">
      <c r="A90" s="93"/>
      <c r="B90" s="130"/>
      <c r="C90" s="130"/>
      <c r="D90" s="98"/>
      <c r="E90" s="2" t="str">
        <f t="shared" si="3"/>
        <v/>
      </c>
      <c r="F90" s="89" t="str">
        <f t="shared" si="4"/>
        <v/>
      </c>
      <c r="G90" s="102" t="str">
        <f t="shared" si="5"/>
        <v/>
      </c>
      <c r="H90" s="162"/>
      <c r="I90" s="162"/>
      <c r="J90" s="162"/>
      <c r="K90" s="162"/>
      <c r="L90" s="163"/>
      <c r="M90" s="163"/>
      <c r="N90" s="162"/>
      <c r="O90" s="162"/>
      <c r="P90" s="162"/>
      <c r="Q90" s="162"/>
      <c r="R90" s="162"/>
      <c r="S90" s="162"/>
      <c r="T90" s="162"/>
      <c r="U90" s="162"/>
      <c r="V90" s="162"/>
      <c r="W90" s="162"/>
      <c r="X90" s="162"/>
      <c r="Y90" s="162"/>
      <c r="Z90" s="162"/>
      <c r="AA90" s="162"/>
      <c r="AB90" s="162"/>
      <c r="AC90" s="162"/>
      <c r="AD90" s="162"/>
    </row>
    <row r="91" spans="1:30">
      <c r="A91" s="93"/>
      <c r="B91" s="130"/>
      <c r="C91" s="130"/>
      <c r="D91" s="98"/>
      <c r="E91" s="2" t="str">
        <f t="shared" si="3"/>
        <v/>
      </c>
      <c r="F91" s="89" t="str">
        <f t="shared" si="4"/>
        <v/>
      </c>
      <c r="G91" s="102" t="str">
        <f t="shared" si="5"/>
        <v/>
      </c>
      <c r="H91" s="162"/>
      <c r="I91" s="162"/>
      <c r="J91" s="162"/>
      <c r="K91" s="162"/>
      <c r="L91" s="163"/>
      <c r="M91" s="163"/>
      <c r="N91" s="162"/>
      <c r="O91" s="162"/>
      <c r="P91" s="162"/>
      <c r="Q91" s="162"/>
      <c r="R91" s="162"/>
      <c r="S91" s="162"/>
      <c r="T91" s="162"/>
      <c r="U91" s="162"/>
      <c r="V91" s="162"/>
      <c r="W91" s="162"/>
      <c r="X91" s="162"/>
      <c r="Y91" s="162"/>
      <c r="Z91" s="162"/>
      <c r="AA91" s="162"/>
      <c r="AB91" s="162"/>
      <c r="AC91" s="162"/>
      <c r="AD91" s="162"/>
    </row>
    <row r="92" spans="1:30">
      <c r="A92" s="93"/>
      <c r="B92" s="130"/>
      <c r="C92" s="130"/>
      <c r="D92" s="98"/>
      <c r="E92" s="2" t="str">
        <f t="shared" si="3"/>
        <v/>
      </c>
      <c r="F92" s="89" t="str">
        <f t="shared" si="4"/>
        <v/>
      </c>
      <c r="G92" s="102" t="str">
        <f t="shared" si="5"/>
        <v/>
      </c>
      <c r="H92" s="162"/>
      <c r="I92" s="162"/>
      <c r="J92" s="162"/>
      <c r="K92" s="162"/>
      <c r="L92" s="163"/>
      <c r="M92" s="163"/>
      <c r="N92" s="162"/>
      <c r="O92" s="162"/>
      <c r="P92" s="162"/>
      <c r="Q92" s="162"/>
      <c r="R92" s="162"/>
      <c r="S92" s="162"/>
      <c r="T92" s="162"/>
      <c r="U92" s="162"/>
      <c r="V92" s="162"/>
      <c r="W92" s="162"/>
      <c r="X92" s="162"/>
      <c r="Y92" s="162"/>
      <c r="Z92" s="162"/>
      <c r="AA92" s="162"/>
      <c r="AB92" s="162"/>
      <c r="AC92" s="162"/>
      <c r="AD92" s="162"/>
    </row>
    <row r="93" spans="1:30">
      <c r="A93" s="93"/>
      <c r="B93" s="130"/>
      <c r="C93" s="130"/>
      <c r="D93" s="98"/>
      <c r="E93" s="2" t="str">
        <f t="shared" si="3"/>
        <v/>
      </c>
      <c r="F93" s="89" t="str">
        <f t="shared" si="4"/>
        <v/>
      </c>
      <c r="G93" s="102" t="str">
        <f t="shared" si="5"/>
        <v/>
      </c>
      <c r="H93" s="162"/>
      <c r="I93" s="162"/>
      <c r="J93" s="162"/>
      <c r="K93" s="162"/>
      <c r="L93" s="163"/>
      <c r="M93" s="163"/>
      <c r="N93" s="162"/>
      <c r="O93" s="162"/>
      <c r="P93" s="162"/>
      <c r="Q93" s="162"/>
      <c r="R93" s="162"/>
      <c r="S93" s="162"/>
      <c r="T93" s="162"/>
      <c r="U93" s="162"/>
      <c r="V93" s="162"/>
      <c r="W93" s="162"/>
      <c r="X93" s="162"/>
      <c r="Y93" s="162"/>
      <c r="Z93" s="162"/>
      <c r="AA93" s="162"/>
      <c r="AB93" s="162"/>
      <c r="AC93" s="162"/>
      <c r="AD93" s="162"/>
    </row>
    <row r="94" spans="1:30">
      <c r="A94" s="93"/>
      <c r="B94" s="130"/>
      <c r="C94" s="130"/>
      <c r="D94" s="98"/>
      <c r="E94" s="2" t="str">
        <f t="shared" si="3"/>
        <v/>
      </c>
      <c r="F94" s="89" t="str">
        <f t="shared" si="4"/>
        <v/>
      </c>
      <c r="G94" s="102" t="str">
        <f t="shared" si="5"/>
        <v/>
      </c>
      <c r="H94" s="162"/>
      <c r="I94" s="162"/>
      <c r="J94" s="162"/>
      <c r="K94" s="162"/>
      <c r="L94" s="163"/>
      <c r="M94" s="163"/>
      <c r="N94" s="162"/>
      <c r="O94" s="162"/>
      <c r="P94" s="162"/>
      <c r="Q94" s="162"/>
      <c r="R94" s="162"/>
      <c r="S94" s="162"/>
      <c r="T94" s="162"/>
      <c r="U94" s="162"/>
      <c r="V94" s="162"/>
      <c r="W94" s="162"/>
      <c r="X94" s="162"/>
      <c r="Y94" s="162"/>
      <c r="Z94" s="162"/>
      <c r="AA94" s="162"/>
      <c r="AB94" s="162"/>
      <c r="AC94" s="162"/>
      <c r="AD94" s="162"/>
    </row>
    <row r="95" spans="1:30">
      <c r="A95" s="93"/>
      <c r="B95" s="130"/>
      <c r="C95" s="130"/>
      <c r="D95" s="98"/>
      <c r="E95" s="2" t="str">
        <f t="shared" si="3"/>
        <v/>
      </c>
      <c r="F95" s="89" t="str">
        <f t="shared" si="4"/>
        <v/>
      </c>
      <c r="G95" s="102" t="str">
        <f t="shared" si="5"/>
        <v/>
      </c>
      <c r="H95" s="162"/>
      <c r="I95" s="162"/>
      <c r="J95" s="162"/>
      <c r="K95" s="162"/>
      <c r="L95" s="163"/>
      <c r="M95" s="163"/>
      <c r="N95" s="162"/>
      <c r="O95" s="162"/>
      <c r="P95" s="162"/>
      <c r="Q95" s="162"/>
      <c r="R95" s="162"/>
      <c r="S95" s="162"/>
      <c r="T95" s="162"/>
      <c r="U95" s="162"/>
      <c r="V95" s="162"/>
      <c r="W95" s="162"/>
      <c r="X95" s="162"/>
      <c r="Y95" s="162"/>
      <c r="Z95" s="162"/>
      <c r="AA95" s="162"/>
      <c r="AB95" s="162"/>
      <c r="AC95" s="162"/>
      <c r="AD95" s="162"/>
    </row>
    <row r="96" spans="1:30">
      <c r="A96" s="93"/>
      <c r="B96" s="130"/>
      <c r="C96" s="130"/>
      <c r="D96" s="98"/>
      <c r="E96" s="2" t="str">
        <f t="shared" si="3"/>
        <v/>
      </c>
      <c r="F96" s="89" t="str">
        <f t="shared" si="4"/>
        <v/>
      </c>
      <c r="G96" s="102" t="str">
        <f t="shared" si="5"/>
        <v/>
      </c>
      <c r="H96" s="162"/>
      <c r="I96" s="162"/>
      <c r="J96" s="162"/>
      <c r="K96" s="162"/>
      <c r="L96" s="163"/>
      <c r="M96" s="163"/>
      <c r="N96" s="162"/>
      <c r="O96" s="162"/>
      <c r="P96" s="162"/>
      <c r="Q96" s="162"/>
      <c r="R96" s="162"/>
      <c r="S96" s="162"/>
      <c r="T96" s="162"/>
      <c r="U96" s="162"/>
      <c r="V96" s="162"/>
      <c r="W96" s="162"/>
      <c r="X96" s="162"/>
      <c r="Y96" s="162"/>
      <c r="Z96" s="162"/>
      <c r="AA96" s="162"/>
      <c r="AB96" s="162"/>
      <c r="AC96" s="162"/>
      <c r="AD96" s="162"/>
    </row>
    <row r="97" spans="1:30">
      <c r="A97" s="93"/>
      <c r="B97" s="130"/>
      <c r="C97" s="130"/>
      <c r="D97" s="98"/>
      <c r="E97" s="2" t="str">
        <f t="shared" si="3"/>
        <v/>
      </c>
      <c r="F97" s="89" t="str">
        <f t="shared" si="4"/>
        <v/>
      </c>
      <c r="G97" s="102" t="str">
        <f t="shared" si="5"/>
        <v/>
      </c>
      <c r="H97" s="162"/>
      <c r="I97" s="162"/>
      <c r="J97" s="162"/>
      <c r="K97" s="162"/>
      <c r="L97" s="163"/>
      <c r="M97" s="163"/>
      <c r="N97" s="162"/>
      <c r="O97" s="162"/>
      <c r="P97" s="162"/>
      <c r="Q97" s="162"/>
      <c r="R97" s="162"/>
      <c r="S97" s="162"/>
      <c r="T97" s="162"/>
      <c r="U97" s="162"/>
      <c r="V97" s="162"/>
      <c r="W97" s="162"/>
      <c r="X97" s="162"/>
      <c r="Y97" s="162"/>
      <c r="Z97" s="162"/>
      <c r="AA97" s="162"/>
      <c r="AB97" s="162"/>
      <c r="AC97" s="162"/>
      <c r="AD97" s="162"/>
    </row>
    <row r="98" spans="1:30">
      <c r="A98" s="93"/>
      <c r="B98" s="130"/>
      <c r="C98" s="130"/>
      <c r="D98" s="98"/>
      <c r="E98" s="2" t="str">
        <f t="shared" si="3"/>
        <v/>
      </c>
      <c r="F98" s="89" t="str">
        <f t="shared" si="4"/>
        <v/>
      </c>
      <c r="G98" s="102" t="str">
        <f t="shared" si="5"/>
        <v/>
      </c>
      <c r="H98" s="162"/>
      <c r="I98" s="162"/>
      <c r="J98" s="162"/>
      <c r="K98" s="162"/>
      <c r="L98" s="163"/>
      <c r="M98" s="163"/>
      <c r="N98" s="162"/>
      <c r="O98" s="162"/>
      <c r="P98" s="162"/>
      <c r="Q98" s="162"/>
      <c r="R98" s="162"/>
      <c r="S98" s="162"/>
      <c r="T98" s="162"/>
      <c r="U98" s="162"/>
      <c r="V98" s="162"/>
      <c r="W98" s="162"/>
      <c r="X98" s="162"/>
      <c r="Y98" s="162"/>
      <c r="Z98" s="162"/>
      <c r="AA98" s="162"/>
      <c r="AB98" s="162"/>
      <c r="AC98" s="162"/>
      <c r="AD98" s="162"/>
    </row>
    <row r="99" spans="1:30">
      <c r="A99" s="93"/>
      <c r="B99" s="130"/>
      <c r="C99" s="130"/>
      <c r="D99" s="98"/>
      <c r="E99" s="2" t="str">
        <f t="shared" si="3"/>
        <v/>
      </c>
      <c r="F99" s="89" t="str">
        <f t="shared" si="4"/>
        <v/>
      </c>
      <c r="G99" s="102" t="str">
        <f t="shared" si="5"/>
        <v/>
      </c>
      <c r="H99" s="162"/>
      <c r="I99" s="162"/>
      <c r="J99" s="162"/>
      <c r="K99" s="162"/>
      <c r="L99" s="163"/>
      <c r="M99" s="163"/>
      <c r="N99" s="162"/>
      <c r="O99" s="162"/>
      <c r="P99" s="162"/>
      <c r="Q99" s="162"/>
      <c r="R99" s="162"/>
      <c r="S99" s="162"/>
      <c r="T99" s="162"/>
      <c r="U99" s="162"/>
      <c r="V99" s="162"/>
      <c r="W99" s="162"/>
      <c r="X99" s="162"/>
      <c r="Y99" s="162"/>
      <c r="Z99" s="162"/>
      <c r="AA99" s="162"/>
      <c r="AB99" s="162"/>
      <c r="AC99" s="162"/>
      <c r="AD99" s="162"/>
    </row>
    <row r="100" spans="1:30">
      <c r="A100" s="93"/>
      <c r="B100" s="130"/>
      <c r="C100" s="130"/>
      <c r="D100" s="98"/>
      <c r="E100" s="2" t="str">
        <f t="shared" si="3"/>
        <v/>
      </c>
      <c r="F100" s="89" t="str">
        <f t="shared" si="4"/>
        <v/>
      </c>
      <c r="G100" s="102" t="str">
        <f t="shared" si="5"/>
        <v/>
      </c>
      <c r="H100" s="162"/>
      <c r="I100" s="162"/>
      <c r="J100" s="162"/>
      <c r="K100" s="162"/>
      <c r="L100" s="163"/>
      <c r="M100" s="163"/>
      <c r="N100" s="162"/>
      <c r="O100" s="162"/>
      <c r="P100" s="162"/>
      <c r="Q100" s="162"/>
      <c r="R100" s="162"/>
      <c r="S100" s="162"/>
      <c r="T100" s="162"/>
      <c r="U100" s="162"/>
      <c r="V100" s="162"/>
      <c r="W100" s="162"/>
      <c r="X100" s="162"/>
      <c r="Y100" s="162"/>
      <c r="Z100" s="162"/>
      <c r="AA100" s="162"/>
      <c r="AB100" s="162"/>
      <c r="AC100" s="162"/>
      <c r="AD100" s="162"/>
    </row>
    <row r="101" spans="1:30">
      <c r="A101" s="93"/>
      <c r="B101" s="130"/>
      <c r="C101" s="130"/>
      <c r="D101" s="98"/>
      <c r="E101" s="2" t="str">
        <f t="shared" si="3"/>
        <v/>
      </c>
      <c r="F101" s="89" t="str">
        <f t="shared" si="4"/>
        <v/>
      </c>
      <c r="G101" s="102" t="str">
        <f t="shared" si="5"/>
        <v/>
      </c>
      <c r="H101" s="162"/>
      <c r="I101" s="162"/>
      <c r="J101" s="162"/>
      <c r="K101" s="162"/>
      <c r="L101" s="163"/>
      <c r="M101" s="163"/>
      <c r="N101" s="162"/>
      <c r="O101" s="162"/>
      <c r="P101" s="162"/>
      <c r="Q101" s="162"/>
      <c r="R101" s="162"/>
      <c r="S101" s="162"/>
      <c r="T101" s="162"/>
      <c r="U101" s="162"/>
      <c r="V101" s="162"/>
      <c r="W101" s="162"/>
      <c r="X101" s="162"/>
      <c r="Y101" s="162"/>
      <c r="Z101" s="162"/>
      <c r="AA101" s="162"/>
      <c r="AB101" s="162"/>
      <c r="AC101" s="162"/>
      <c r="AD101" s="162"/>
    </row>
    <row r="102" spans="1:30">
      <c r="A102" s="93"/>
      <c r="B102" s="130"/>
      <c r="C102" s="130"/>
      <c r="D102" s="98"/>
      <c r="E102" s="2" t="str">
        <f t="shared" si="3"/>
        <v/>
      </c>
      <c r="F102" s="89" t="str">
        <f t="shared" si="4"/>
        <v/>
      </c>
      <c r="G102" s="102" t="str">
        <f t="shared" si="5"/>
        <v/>
      </c>
      <c r="H102" s="162"/>
      <c r="I102" s="162"/>
      <c r="J102" s="162"/>
      <c r="K102" s="162"/>
      <c r="L102" s="163"/>
      <c r="M102" s="163"/>
      <c r="N102" s="162"/>
      <c r="O102" s="162"/>
      <c r="P102" s="162"/>
      <c r="Q102" s="162"/>
      <c r="R102" s="162"/>
      <c r="S102" s="162"/>
      <c r="T102" s="162"/>
      <c r="U102" s="162"/>
      <c r="V102" s="162"/>
      <c r="W102" s="162"/>
      <c r="X102" s="162"/>
      <c r="Y102" s="162"/>
      <c r="Z102" s="162"/>
      <c r="AA102" s="162"/>
      <c r="AB102" s="162"/>
      <c r="AC102" s="162"/>
      <c r="AD102" s="162"/>
    </row>
    <row r="103" spans="1:30">
      <c r="A103" s="93"/>
      <c r="B103" s="130"/>
      <c r="C103" s="130"/>
      <c r="D103" s="98"/>
      <c r="E103" s="2" t="str">
        <f t="shared" si="3"/>
        <v/>
      </c>
      <c r="F103" s="89" t="str">
        <f t="shared" si="4"/>
        <v/>
      </c>
      <c r="G103" s="102" t="str">
        <f t="shared" si="5"/>
        <v/>
      </c>
      <c r="H103" s="162"/>
      <c r="I103" s="162"/>
      <c r="J103" s="162"/>
      <c r="K103" s="162"/>
      <c r="L103" s="163"/>
      <c r="M103" s="163"/>
      <c r="N103" s="162"/>
      <c r="O103" s="162"/>
      <c r="P103" s="162"/>
      <c r="Q103" s="162"/>
      <c r="R103" s="162"/>
      <c r="S103" s="162"/>
      <c r="T103" s="162"/>
      <c r="U103" s="162"/>
      <c r="V103" s="162"/>
      <c r="W103" s="162"/>
      <c r="X103" s="162"/>
      <c r="Y103" s="162"/>
      <c r="Z103" s="162"/>
      <c r="AA103" s="162"/>
      <c r="AB103" s="162"/>
      <c r="AC103" s="162"/>
      <c r="AD103" s="162"/>
    </row>
    <row r="104" spans="1:30">
      <c r="A104" s="93"/>
      <c r="B104" s="130"/>
      <c r="C104" s="130"/>
      <c r="D104" s="98"/>
      <c r="E104" s="2" t="str">
        <f t="shared" si="3"/>
        <v/>
      </c>
      <c r="F104" s="89" t="str">
        <f t="shared" si="4"/>
        <v/>
      </c>
      <c r="G104" s="102" t="str">
        <f t="shared" si="5"/>
        <v/>
      </c>
      <c r="H104" s="162"/>
      <c r="I104" s="162"/>
      <c r="J104" s="162"/>
      <c r="K104" s="162"/>
      <c r="L104" s="163"/>
      <c r="M104" s="163"/>
      <c r="N104" s="162"/>
      <c r="O104" s="162"/>
      <c r="P104" s="162"/>
      <c r="Q104" s="162"/>
      <c r="R104" s="162"/>
      <c r="S104" s="162"/>
      <c r="T104" s="162"/>
      <c r="U104" s="162"/>
      <c r="V104" s="162"/>
      <c r="W104" s="162"/>
      <c r="X104" s="162"/>
      <c r="Y104" s="162"/>
      <c r="Z104" s="162"/>
      <c r="AA104" s="162"/>
      <c r="AB104" s="162"/>
      <c r="AC104" s="162"/>
      <c r="AD104" s="162"/>
    </row>
    <row r="105" spans="1:30" ht="13.5" thickBot="1">
      <c r="A105" s="127"/>
      <c r="B105" s="131"/>
      <c r="C105" s="131"/>
      <c r="D105" s="126"/>
      <c r="E105" s="128" t="str">
        <f t="shared" si="3"/>
        <v/>
      </c>
      <c r="F105" s="104" t="str">
        <f t="shared" si="4"/>
        <v/>
      </c>
      <c r="G105" s="106" t="str">
        <f t="shared" si="5"/>
        <v/>
      </c>
      <c r="H105" s="162"/>
      <c r="I105" s="162"/>
      <c r="J105" s="162"/>
      <c r="K105" s="162"/>
      <c r="L105" s="163"/>
      <c r="M105" s="163"/>
      <c r="N105" s="162"/>
      <c r="O105" s="162"/>
      <c r="P105" s="162"/>
      <c r="Q105" s="162"/>
      <c r="R105" s="162"/>
      <c r="S105" s="162"/>
      <c r="T105" s="162"/>
      <c r="U105" s="162"/>
      <c r="V105" s="162"/>
      <c r="W105" s="162"/>
      <c r="X105" s="162"/>
      <c r="Y105" s="162"/>
      <c r="Z105" s="162"/>
      <c r="AA105" s="162"/>
      <c r="AB105" s="162"/>
      <c r="AC105" s="162"/>
      <c r="AD105" s="162"/>
    </row>
    <row r="106" spans="1:30" ht="13.5" thickBot="1">
      <c r="A106" s="118" t="s">
        <v>405</v>
      </c>
      <c r="B106" s="38"/>
      <c r="C106" s="38"/>
      <c r="D106" s="133"/>
      <c r="E106" s="39">
        <f>SUM(E58:E105)</f>
        <v>0</v>
      </c>
      <c r="F106" s="105">
        <f>SUM(F58:F105)</f>
        <v>0</v>
      </c>
      <c r="G106" s="100">
        <f>SUM(G58:G105)</f>
        <v>0</v>
      </c>
      <c r="H106" s="162"/>
      <c r="I106" s="162"/>
      <c r="J106" s="162"/>
      <c r="K106" s="162"/>
      <c r="L106" s="163"/>
      <c r="M106" s="163"/>
      <c r="N106" s="162"/>
      <c r="O106" s="162"/>
      <c r="P106" s="162"/>
      <c r="Q106" s="162"/>
      <c r="R106" s="162"/>
      <c r="S106" s="162"/>
      <c r="T106" s="162"/>
      <c r="U106" s="162"/>
      <c r="V106" s="162"/>
      <c r="W106" s="162"/>
      <c r="X106" s="162"/>
      <c r="Y106" s="162"/>
      <c r="Z106" s="162"/>
      <c r="AA106" s="162"/>
      <c r="AB106" s="162"/>
      <c r="AC106" s="162"/>
      <c r="AD106" s="162"/>
    </row>
    <row r="107" spans="1:30">
      <c r="A107" s="4"/>
      <c r="B107" s="4"/>
      <c r="C107" s="4"/>
      <c r="D107" s="4"/>
      <c r="E107" s="4"/>
      <c r="F107" s="4"/>
      <c r="G107" s="4"/>
      <c r="H107" s="162"/>
      <c r="I107" s="162"/>
      <c r="J107" s="162"/>
      <c r="K107" s="162"/>
      <c r="L107" s="163"/>
      <c r="M107" s="163"/>
      <c r="N107" s="162"/>
      <c r="O107" s="162"/>
      <c r="P107" s="162"/>
      <c r="Q107" s="162"/>
      <c r="R107" s="162"/>
      <c r="S107" s="162"/>
      <c r="T107" s="162"/>
      <c r="U107" s="162"/>
      <c r="V107" s="162"/>
      <c r="W107" s="162"/>
      <c r="X107" s="162"/>
      <c r="Y107" s="162"/>
      <c r="Z107" s="162"/>
      <c r="AA107" s="162"/>
      <c r="AB107" s="162"/>
      <c r="AC107" s="162"/>
      <c r="AD107" s="162"/>
    </row>
    <row r="108" spans="1:30">
      <c r="A108" s="254" t="s">
        <v>316</v>
      </c>
      <c r="B108" s="223"/>
      <c r="C108" s="223"/>
      <c r="D108" s="223"/>
      <c r="E108" s="223"/>
      <c r="F108" s="223"/>
      <c r="G108" s="223"/>
      <c r="H108" s="162"/>
      <c r="I108" s="162"/>
      <c r="J108" s="162"/>
      <c r="K108" s="162"/>
      <c r="L108" s="163"/>
      <c r="M108" s="163"/>
      <c r="N108" s="162"/>
      <c r="O108" s="162"/>
      <c r="P108" s="162"/>
      <c r="Q108" s="162"/>
      <c r="R108" s="162"/>
      <c r="S108" s="162"/>
      <c r="T108" s="162"/>
      <c r="U108" s="162"/>
      <c r="V108" s="162"/>
      <c r="W108" s="162"/>
      <c r="X108" s="162"/>
      <c r="Y108" s="162"/>
      <c r="Z108" s="162"/>
      <c r="AA108" s="162"/>
      <c r="AB108" s="162"/>
      <c r="AC108" s="162"/>
      <c r="AD108" s="162"/>
    </row>
    <row r="109" spans="1:30">
      <c r="A109" s="162"/>
      <c r="B109" s="162"/>
      <c r="C109" s="162"/>
      <c r="D109" s="162"/>
      <c r="E109" s="162"/>
      <c r="F109" s="162"/>
      <c r="G109" s="162"/>
      <c r="H109" s="162"/>
      <c r="I109" s="162"/>
      <c r="J109" s="162"/>
      <c r="K109" s="162"/>
      <c r="L109" s="163"/>
      <c r="M109" s="163"/>
      <c r="N109" s="162"/>
      <c r="O109" s="162"/>
      <c r="P109" s="162"/>
      <c r="Q109" s="162"/>
      <c r="R109" s="162"/>
      <c r="S109" s="162"/>
      <c r="T109" s="162"/>
      <c r="U109" s="162"/>
      <c r="V109" s="162"/>
      <c r="W109" s="162"/>
      <c r="X109" s="162"/>
      <c r="Y109" s="162"/>
      <c r="Z109" s="162"/>
      <c r="AA109" s="162"/>
      <c r="AB109" s="162"/>
      <c r="AC109" s="162"/>
      <c r="AD109" s="162"/>
    </row>
    <row r="110" spans="1:30" ht="15" thickBot="1">
      <c r="A110" s="7" t="s">
        <v>305</v>
      </c>
      <c r="B110" s="4"/>
      <c r="C110" s="63"/>
      <c r="D110" s="63"/>
      <c r="E110" s="63"/>
      <c r="F110" s="4"/>
      <c r="G110" s="4"/>
      <c r="H110" s="162"/>
      <c r="I110" s="162"/>
      <c r="J110" s="162"/>
      <c r="K110" s="162"/>
      <c r="L110" s="162"/>
      <c r="M110" s="163"/>
      <c r="N110" s="162"/>
      <c r="O110" s="162"/>
      <c r="P110" s="162"/>
      <c r="Q110" s="162"/>
      <c r="R110" s="162"/>
      <c r="S110" s="162"/>
      <c r="T110" s="162"/>
      <c r="U110" s="162"/>
      <c r="V110" s="162"/>
      <c r="W110" s="162"/>
      <c r="X110" s="162"/>
      <c r="Y110" s="162"/>
      <c r="Z110" s="162"/>
      <c r="AA110" s="162"/>
      <c r="AB110" s="162"/>
      <c r="AC110" s="162"/>
      <c r="AD110" s="162"/>
    </row>
    <row r="111" spans="1:30" ht="15" thickBot="1">
      <c r="A111" s="1273" t="s">
        <v>290</v>
      </c>
      <c r="B111" s="1274"/>
      <c r="C111" s="13" t="s">
        <v>291</v>
      </c>
      <c r="D111" s="13" t="s">
        <v>292</v>
      </c>
      <c r="E111" s="14" t="s">
        <v>255</v>
      </c>
      <c r="F111" s="4"/>
      <c r="G111" s="4"/>
      <c r="H111" s="162"/>
      <c r="I111" s="162"/>
      <c r="J111" s="162"/>
      <c r="K111" s="162"/>
      <c r="L111" s="162"/>
      <c r="M111" s="163"/>
      <c r="N111" s="162"/>
      <c r="O111" s="162"/>
      <c r="P111" s="162"/>
      <c r="Q111" s="162"/>
      <c r="R111" s="162"/>
      <c r="S111" s="162"/>
      <c r="T111" s="162"/>
      <c r="U111" s="162"/>
      <c r="V111" s="162"/>
      <c r="W111" s="162"/>
      <c r="X111" s="162"/>
      <c r="Y111" s="162"/>
      <c r="Z111" s="162"/>
      <c r="AA111" s="162"/>
      <c r="AB111" s="162"/>
      <c r="AC111" s="162"/>
      <c r="AD111" s="162"/>
    </row>
    <row r="112" spans="1:30">
      <c r="A112" s="1275" t="s">
        <v>3</v>
      </c>
      <c r="B112" s="1276"/>
      <c r="C112" s="52">
        <f t="shared" ref="C112:E114" si="6">SUMIF($C$15:$C$52,$A112,E$15:E$52)</f>
        <v>0</v>
      </c>
      <c r="D112" s="52">
        <f t="shared" si="6"/>
        <v>0</v>
      </c>
      <c r="E112" s="398">
        <f t="shared" si="6"/>
        <v>0</v>
      </c>
      <c r="F112" s="4"/>
      <c r="G112" s="4"/>
      <c r="H112" s="162"/>
      <c r="I112" s="162"/>
      <c r="J112" s="162"/>
      <c r="K112" s="162"/>
      <c r="L112" s="162"/>
      <c r="M112" s="163"/>
      <c r="N112" s="162"/>
      <c r="O112" s="162"/>
      <c r="P112" s="162"/>
      <c r="Q112" s="162"/>
      <c r="R112" s="162"/>
      <c r="S112" s="162"/>
      <c r="T112" s="162"/>
      <c r="U112" s="162"/>
      <c r="V112" s="162"/>
      <c r="W112" s="162"/>
      <c r="X112" s="162"/>
      <c r="Y112" s="162"/>
      <c r="Z112" s="162"/>
      <c r="AA112" s="162"/>
      <c r="AB112" s="162"/>
      <c r="AC112" s="162"/>
      <c r="AD112" s="162"/>
    </row>
    <row r="113" spans="1:30">
      <c r="A113" s="1271" t="s">
        <v>4</v>
      </c>
      <c r="B113" s="1272"/>
      <c r="C113" s="55">
        <f t="shared" si="6"/>
        <v>0</v>
      </c>
      <c r="D113" s="55">
        <f t="shared" si="6"/>
        <v>0</v>
      </c>
      <c r="E113" s="399">
        <f t="shared" si="6"/>
        <v>0</v>
      </c>
      <c r="F113" s="4"/>
      <c r="G113" s="4"/>
      <c r="H113" s="162"/>
      <c r="I113" s="162"/>
      <c r="J113" s="162"/>
      <c r="K113" s="162"/>
      <c r="L113" s="162"/>
      <c r="M113" s="163"/>
      <c r="N113" s="162"/>
      <c r="O113" s="162"/>
      <c r="P113" s="162"/>
      <c r="Q113" s="162"/>
      <c r="R113" s="162"/>
      <c r="S113" s="162"/>
      <c r="T113" s="162"/>
      <c r="U113" s="162"/>
      <c r="V113" s="162"/>
      <c r="W113" s="162"/>
      <c r="X113" s="162"/>
      <c r="Y113" s="162"/>
      <c r="Z113" s="162"/>
      <c r="AA113" s="162"/>
      <c r="AB113" s="162"/>
      <c r="AC113" s="162"/>
      <c r="AD113" s="162"/>
    </row>
    <row r="114" spans="1:30">
      <c r="A114" s="1271" t="s">
        <v>5</v>
      </c>
      <c r="B114" s="1272"/>
      <c r="C114" s="55">
        <f t="shared" si="6"/>
        <v>0</v>
      </c>
      <c r="D114" s="55">
        <f t="shared" si="6"/>
        <v>0</v>
      </c>
      <c r="E114" s="399">
        <f t="shared" si="6"/>
        <v>0</v>
      </c>
      <c r="F114" s="4"/>
      <c r="G114" s="4"/>
      <c r="H114" s="162"/>
      <c r="I114" s="162"/>
      <c r="J114" s="162"/>
      <c r="K114" s="162"/>
      <c r="L114" s="162"/>
      <c r="M114" s="163"/>
      <c r="N114" s="162"/>
      <c r="O114" s="162"/>
      <c r="P114" s="162"/>
      <c r="Q114" s="162"/>
      <c r="R114" s="162"/>
      <c r="S114" s="162"/>
      <c r="T114" s="162"/>
      <c r="U114" s="162"/>
      <c r="V114" s="162"/>
      <c r="W114" s="162"/>
      <c r="X114" s="162"/>
      <c r="Y114" s="162"/>
      <c r="Z114" s="162"/>
      <c r="AA114" s="162"/>
      <c r="AB114" s="162"/>
      <c r="AC114" s="162"/>
      <c r="AD114" s="162"/>
    </row>
    <row r="115" spans="1:30">
      <c r="A115" s="1271" t="s">
        <v>1183</v>
      </c>
      <c r="B115" s="1272"/>
      <c r="C115" s="55">
        <f t="shared" ref="C115:E120" si="7">SUMIF($C$58:$C$105,$A115,E$58:E$105)</f>
        <v>0</v>
      </c>
      <c r="D115" s="55">
        <f t="shared" si="7"/>
        <v>0</v>
      </c>
      <c r="E115" s="399">
        <f t="shared" si="7"/>
        <v>0</v>
      </c>
      <c r="F115" s="4"/>
      <c r="G115" s="4"/>
      <c r="H115" s="162"/>
      <c r="I115" s="162"/>
      <c r="J115" s="162"/>
      <c r="K115" s="162"/>
      <c r="L115" s="162"/>
      <c r="M115" s="163"/>
      <c r="N115" s="162"/>
      <c r="O115" s="162"/>
      <c r="P115" s="162"/>
      <c r="Q115" s="162"/>
      <c r="R115" s="162"/>
      <c r="S115" s="162"/>
      <c r="T115" s="162"/>
      <c r="U115" s="162"/>
      <c r="V115" s="162"/>
      <c r="W115" s="162"/>
      <c r="X115" s="162"/>
      <c r="Y115" s="162"/>
      <c r="Z115" s="162"/>
      <c r="AA115" s="162"/>
      <c r="AB115" s="162"/>
      <c r="AC115" s="162"/>
      <c r="AD115" s="162"/>
    </row>
    <row r="116" spans="1:30">
      <c r="A116" s="1271" t="s">
        <v>1184</v>
      </c>
      <c r="B116" s="1272"/>
      <c r="C116" s="55">
        <f t="shared" si="7"/>
        <v>0</v>
      </c>
      <c r="D116" s="55">
        <f t="shared" si="7"/>
        <v>0</v>
      </c>
      <c r="E116" s="399">
        <f t="shared" si="7"/>
        <v>0</v>
      </c>
      <c r="F116" s="4"/>
      <c r="G116" s="4"/>
      <c r="H116" s="162"/>
      <c r="I116" s="162"/>
      <c r="J116" s="162"/>
      <c r="K116" s="162"/>
      <c r="L116" s="162"/>
      <c r="M116" s="163"/>
      <c r="N116" s="162"/>
      <c r="O116" s="162"/>
      <c r="P116" s="162"/>
      <c r="Q116" s="162"/>
      <c r="R116" s="162"/>
      <c r="S116" s="162"/>
      <c r="T116" s="162"/>
      <c r="U116" s="162"/>
      <c r="V116" s="162"/>
      <c r="W116" s="162"/>
      <c r="X116" s="162"/>
      <c r="Y116" s="162"/>
      <c r="Z116" s="162"/>
      <c r="AA116" s="162"/>
      <c r="AB116" s="162"/>
      <c r="AC116" s="162"/>
      <c r="AD116" s="162"/>
    </row>
    <row r="117" spans="1:30">
      <c r="A117" s="1271" t="s">
        <v>1185</v>
      </c>
      <c r="B117" s="1272"/>
      <c r="C117" s="55">
        <f t="shared" si="7"/>
        <v>0</v>
      </c>
      <c r="D117" s="55">
        <f t="shared" si="7"/>
        <v>0</v>
      </c>
      <c r="E117" s="399">
        <f t="shared" si="7"/>
        <v>0</v>
      </c>
      <c r="F117" s="4"/>
      <c r="G117" s="4"/>
      <c r="H117" s="162"/>
      <c r="I117" s="162"/>
      <c r="J117" s="162"/>
      <c r="K117" s="162"/>
      <c r="L117" s="162"/>
      <c r="M117" s="163"/>
      <c r="N117" s="162"/>
      <c r="O117" s="162"/>
      <c r="P117" s="162"/>
      <c r="Q117" s="162"/>
      <c r="R117" s="162"/>
      <c r="S117" s="162"/>
      <c r="T117" s="162"/>
      <c r="U117" s="162"/>
      <c r="V117" s="162"/>
      <c r="W117" s="162"/>
      <c r="X117" s="162"/>
      <c r="Y117" s="162"/>
      <c r="Z117" s="162"/>
      <c r="AA117" s="162"/>
      <c r="AB117" s="162"/>
      <c r="AC117" s="162"/>
      <c r="AD117" s="162"/>
    </row>
    <row r="118" spans="1:30">
      <c r="A118" s="1271" t="s">
        <v>195</v>
      </c>
      <c r="B118" s="1272"/>
      <c r="C118" s="55">
        <f t="shared" si="7"/>
        <v>0</v>
      </c>
      <c r="D118" s="55">
        <f t="shared" si="7"/>
        <v>0</v>
      </c>
      <c r="E118" s="399">
        <f t="shared" si="7"/>
        <v>0</v>
      </c>
      <c r="F118" s="4"/>
      <c r="G118" s="4"/>
      <c r="H118" s="162"/>
      <c r="I118" s="162"/>
      <c r="J118" s="162"/>
      <c r="K118" s="162"/>
      <c r="L118" s="162"/>
      <c r="M118" s="163"/>
      <c r="N118" s="162"/>
      <c r="O118" s="162"/>
      <c r="P118" s="162"/>
      <c r="Q118" s="162"/>
      <c r="R118" s="162"/>
      <c r="S118" s="162"/>
      <c r="T118" s="162"/>
      <c r="U118" s="162"/>
      <c r="V118" s="162"/>
      <c r="W118" s="162"/>
      <c r="X118" s="162"/>
      <c r="Y118" s="162"/>
      <c r="Z118" s="162"/>
      <c r="AA118" s="162"/>
      <c r="AB118" s="162"/>
      <c r="AC118" s="162"/>
      <c r="AD118" s="162"/>
    </row>
    <row r="119" spans="1:30">
      <c r="A119" s="1271" t="s">
        <v>196</v>
      </c>
      <c r="B119" s="1272"/>
      <c r="C119" s="55">
        <f t="shared" si="7"/>
        <v>0</v>
      </c>
      <c r="D119" s="55">
        <f t="shared" si="7"/>
        <v>0</v>
      </c>
      <c r="E119" s="399">
        <f t="shared" si="7"/>
        <v>0</v>
      </c>
      <c r="F119" s="4"/>
      <c r="G119" s="4"/>
      <c r="H119" s="162"/>
      <c r="I119" s="162"/>
      <c r="J119" s="162"/>
      <c r="K119" s="162"/>
      <c r="L119" s="162"/>
      <c r="M119" s="163"/>
      <c r="N119" s="162"/>
      <c r="O119" s="162"/>
      <c r="P119" s="162"/>
      <c r="Q119" s="162"/>
      <c r="R119" s="162"/>
      <c r="S119" s="162"/>
      <c r="T119" s="162"/>
      <c r="U119" s="162"/>
      <c r="V119" s="162"/>
      <c r="W119" s="162"/>
      <c r="X119" s="162"/>
      <c r="Y119" s="162"/>
      <c r="Z119" s="162"/>
      <c r="AA119" s="162"/>
      <c r="AB119" s="162"/>
      <c r="AC119" s="162"/>
      <c r="AD119" s="162"/>
    </row>
    <row r="120" spans="1:30" ht="13.5" thickBot="1">
      <c r="A120" s="1277" t="s">
        <v>266</v>
      </c>
      <c r="B120" s="1278"/>
      <c r="C120" s="56">
        <f t="shared" si="7"/>
        <v>0</v>
      </c>
      <c r="D120" s="56">
        <f t="shared" si="7"/>
        <v>0</v>
      </c>
      <c r="E120" s="400">
        <f t="shared" si="7"/>
        <v>0</v>
      </c>
      <c r="F120" s="4"/>
      <c r="G120" s="4"/>
      <c r="H120" s="162"/>
      <c r="I120" s="162"/>
      <c r="J120" s="162"/>
      <c r="K120" s="162"/>
      <c r="L120" s="162"/>
      <c r="M120" s="163"/>
      <c r="N120" s="162"/>
      <c r="O120" s="162"/>
      <c r="P120" s="162"/>
      <c r="Q120" s="162"/>
      <c r="R120" s="162"/>
      <c r="S120" s="162"/>
      <c r="T120" s="162"/>
      <c r="U120" s="162"/>
      <c r="V120" s="162"/>
      <c r="W120" s="162"/>
      <c r="X120" s="162"/>
      <c r="Y120" s="162"/>
      <c r="Z120" s="162"/>
      <c r="AA120" s="162"/>
      <c r="AB120" s="162"/>
      <c r="AC120" s="162"/>
      <c r="AD120" s="162"/>
    </row>
    <row r="121" spans="1:30" ht="13.5" thickBot="1">
      <c r="A121" s="4"/>
      <c r="B121" s="4"/>
      <c r="C121" s="4"/>
      <c r="D121" s="4"/>
      <c r="E121" s="4"/>
      <c r="F121" s="4"/>
      <c r="G121" s="4"/>
      <c r="H121" s="162"/>
      <c r="I121" s="162"/>
      <c r="J121" s="162"/>
      <c r="K121" s="162"/>
      <c r="L121" s="163"/>
      <c r="M121" s="163"/>
      <c r="N121" s="162"/>
      <c r="O121" s="162"/>
      <c r="P121" s="162"/>
      <c r="Q121" s="162"/>
      <c r="R121" s="162"/>
      <c r="S121" s="162"/>
      <c r="T121" s="162"/>
      <c r="U121" s="162"/>
      <c r="V121" s="162"/>
      <c r="W121" s="162"/>
      <c r="X121" s="162"/>
      <c r="Y121" s="162"/>
      <c r="Z121" s="162"/>
      <c r="AA121" s="162"/>
      <c r="AB121" s="162"/>
      <c r="AC121" s="162"/>
      <c r="AD121" s="162"/>
    </row>
    <row r="122" spans="1:30">
      <c r="A122" s="32"/>
      <c r="B122" s="33"/>
      <c r="C122" s="33"/>
      <c r="D122" s="123"/>
      <c r="E122" s="4"/>
      <c r="F122" s="4"/>
      <c r="G122" s="4"/>
      <c r="H122" s="162"/>
      <c r="I122" s="162"/>
      <c r="J122" s="162"/>
      <c r="K122" s="162"/>
      <c r="L122" s="163"/>
      <c r="M122" s="163"/>
      <c r="N122" s="162"/>
      <c r="O122" s="162"/>
      <c r="P122" s="162"/>
      <c r="Q122" s="162"/>
      <c r="R122" s="162"/>
      <c r="S122" s="162"/>
      <c r="T122" s="162"/>
      <c r="U122" s="162"/>
      <c r="V122" s="162"/>
      <c r="W122" s="162"/>
      <c r="X122" s="162"/>
      <c r="Y122" s="162"/>
      <c r="Z122" s="162"/>
      <c r="AA122" s="162"/>
      <c r="AB122" s="162"/>
      <c r="AC122" s="162"/>
      <c r="AD122" s="162"/>
    </row>
    <row r="123" spans="1:30" ht="15" thickBot="1">
      <c r="A123" s="34" t="s">
        <v>493</v>
      </c>
      <c r="B123" s="35"/>
      <c r="C123" s="35"/>
      <c r="D123" s="160">
        <f>(SUM(C112:C120)+SUM(D112:D120)/1000*CH4_GWP+SUM(E112:E120)/1000*N2O_GWP)/1000</f>
        <v>0</v>
      </c>
      <c r="E123" s="4"/>
      <c r="F123" s="4"/>
      <c r="G123" s="4"/>
      <c r="H123" s="162"/>
      <c r="I123" s="162"/>
      <c r="J123" s="162"/>
      <c r="K123" s="162"/>
      <c r="L123" s="163"/>
      <c r="M123" s="163"/>
      <c r="N123" s="162"/>
      <c r="O123" s="162"/>
      <c r="P123" s="162"/>
      <c r="Q123" s="162"/>
      <c r="R123" s="162"/>
      <c r="S123" s="162"/>
      <c r="T123" s="162"/>
      <c r="U123" s="162"/>
      <c r="V123" s="162"/>
      <c r="W123" s="162"/>
      <c r="X123" s="162"/>
      <c r="Y123" s="162"/>
      <c r="Z123" s="162"/>
      <c r="AA123" s="162"/>
      <c r="AB123" s="162"/>
      <c r="AC123" s="162"/>
      <c r="AD123" s="162"/>
    </row>
    <row r="124" spans="1:30">
      <c r="A124" s="162"/>
      <c r="B124" s="162"/>
      <c r="C124" s="162"/>
      <c r="D124" s="162"/>
      <c r="E124" s="162"/>
      <c r="F124" s="162"/>
      <c r="G124" s="162"/>
      <c r="H124" s="162"/>
      <c r="I124" s="162"/>
      <c r="J124" s="162"/>
      <c r="K124" s="162"/>
      <c r="L124" s="163"/>
      <c r="M124" s="163"/>
      <c r="N124" s="162"/>
      <c r="O124" s="162"/>
      <c r="P124" s="162"/>
      <c r="Q124" s="162"/>
      <c r="R124" s="162"/>
      <c r="S124" s="162"/>
      <c r="T124" s="162"/>
      <c r="U124" s="162"/>
      <c r="V124" s="162"/>
      <c r="W124" s="162"/>
      <c r="X124" s="162"/>
      <c r="Y124" s="162"/>
      <c r="Z124" s="162"/>
      <c r="AA124" s="162"/>
      <c r="AB124" s="162"/>
      <c r="AC124" s="162"/>
      <c r="AD124" s="162"/>
    </row>
    <row r="125" spans="1:30">
      <c r="A125" s="162"/>
      <c r="B125" s="162"/>
      <c r="C125" s="162"/>
      <c r="D125" s="162"/>
      <c r="E125" s="162"/>
      <c r="F125" s="162"/>
      <c r="G125" s="162"/>
      <c r="H125" s="162"/>
      <c r="I125" s="162"/>
      <c r="J125" s="162"/>
      <c r="K125" s="162"/>
      <c r="L125" s="163"/>
      <c r="M125" s="163"/>
      <c r="N125" s="162"/>
      <c r="O125" s="162"/>
      <c r="P125" s="162"/>
      <c r="Q125" s="162"/>
      <c r="R125" s="162"/>
      <c r="S125" s="162"/>
      <c r="T125" s="162"/>
      <c r="U125" s="162"/>
      <c r="V125" s="162"/>
      <c r="W125" s="162"/>
      <c r="X125" s="162"/>
      <c r="Y125" s="162"/>
      <c r="Z125" s="162"/>
      <c r="AA125" s="162"/>
      <c r="AB125" s="162"/>
      <c r="AC125" s="162"/>
      <c r="AD125" s="162"/>
    </row>
    <row r="126" spans="1:30">
      <c r="A126" s="162"/>
      <c r="B126" s="162"/>
      <c r="C126" s="162"/>
      <c r="D126" s="162"/>
      <c r="E126" s="162"/>
      <c r="F126" s="162"/>
      <c r="G126" s="162"/>
      <c r="H126" s="162"/>
      <c r="I126" s="162"/>
      <c r="J126" s="162"/>
      <c r="K126" s="162"/>
      <c r="L126" s="163"/>
      <c r="M126" s="163"/>
      <c r="N126" s="162"/>
      <c r="O126" s="162"/>
      <c r="P126" s="162"/>
      <c r="Q126" s="162"/>
      <c r="R126" s="162"/>
      <c r="S126" s="162"/>
      <c r="T126" s="162"/>
      <c r="U126" s="162"/>
      <c r="V126" s="162"/>
      <c r="W126" s="162"/>
      <c r="X126" s="162"/>
      <c r="Y126" s="162"/>
      <c r="Z126" s="162"/>
      <c r="AA126" s="162"/>
      <c r="AB126" s="162"/>
      <c r="AC126" s="162"/>
      <c r="AD126" s="162"/>
    </row>
    <row r="127" spans="1:30">
      <c r="A127" s="162"/>
      <c r="B127" s="162"/>
      <c r="C127" s="162"/>
      <c r="D127" s="162"/>
      <c r="E127" s="162"/>
      <c r="F127" s="162"/>
      <c r="G127" s="162"/>
      <c r="H127" s="162"/>
      <c r="I127" s="162"/>
      <c r="J127" s="162"/>
      <c r="K127" s="162"/>
      <c r="L127" s="163"/>
      <c r="M127" s="163"/>
      <c r="N127" s="162"/>
      <c r="O127" s="162"/>
      <c r="P127" s="162"/>
      <c r="Q127" s="162"/>
      <c r="R127" s="162"/>
      <c r="S127" s="162"/>
      <c r="T127" s="162"/>
      <c r="U127" s="162"/>
      <c r="V127" s="162"/>
      <c r="W127" s="162"/>
      <c r="X127" s="162"/>
      <c r="Y127" s="162"/>
      <c r="Z127" s="162"/>
      <c r="AA127" s="162"/>
      <c r="AB127" s="162"/>
      <c r="AC127" s="162"/>
      <c r="AD127" s="162"/>
    </row>
    <row r="128" spans="1:30">
      <c r="A128" s="162"/>
      <c r="B128" s="162"/>
      <c r="C128" s="162"/>
      <c r="D128" s="162"/>
      <c r="E128" s="162"/>
      <c r="F128" s="162"/>
      <c r="G128" s="162"/>
      <c r="H128" s="162"/>
      <c r="I128" s="162"/>
      <c r="J128" s="162"/>
      <c r="K128" s="162"/>
      <c r="L128" s="163"/>
      <c r="M128" s="163"/>
      <c r="N128" s="162"/>
      <c r="O128" s="162"/>
      <c r="P128" s="162"/>
      <c r="Q128" s="162"/>
      <c r="R128" s="162"/>
      <c r="S128" s="162"/>
      <c r="T128" s="162"/>
      <c r="U128" s="162"/>
      <c r="V128" s="162"/>
      <c r="W128" s="162"/>
      <c r="X128" s="162"/>
      <c r="Y128" s="162"/>
      <c r="Z128" s="162"/>
      <c r="AA128" s="162"/>
      <c r="AB128" s="162"/>
      <c r="AC128" s="162"/>
      <c r="AD128" s="162"/>
    </row>
    <row r="129" spans="1:30">
      <c r="A129" s="162"/>
      <c r="B129" s="162"/>
      <c r="C129" s="162"/>
      <c r="D129" s="162"/>
      <c r="E129" s="162"/>
      <c r="F129" s="162"/>
      <c r="G129" s="162"/>
      <c r="H129" s="162"/>
      <c r="I129" s="162"/>
      <c r="J129" s="162"/>
      <c r="K129" s="162"/>
      <c r="L129" s="163"/>
      <c r="M129" s="163"/>
      <c r="N129" s="162"/>
      <c r="O129" s="162"/>
      <c r="P129" s="162"/>
      <c r="Q129" s="162"/>
      <c r="R129" s="162"/>
      <c r="S129" s="162"/>
      <c r="T129" s="162"/>
      <c r="U129" s="162"/>
      <c r="V129" s="162"/>
      <c r="W129" s="162"/>
      <c r="X129" s="162"/>
      <c r="Y129" s="162"/>
      <c r="Z129" s="162"/>
      <c r="AA129" s="162"/>
      <c r="AB129" s="162"/>
      <c r="AC129" s="162"/>
      <c r="AD129" s="162"/>
    </row>
    <row r="130" spans="1:30">
      <c r="A130" s="162"/>
      <c r="B130" s="162"/>
      <c r="C130" s="162"/>
      <c r="D130" s="162"/>
      <c r="E130" s="162"/>
      <c r="F130" s="162"/>
      <c r="G130" s="162"/>
      <c r="H130" s="162"/>
      <c r="I130" s="162"/>
      <c r="J130" s="162"/>
      <c r="K130" s="162"/>
      <c r="L130" s="163"/>
      <c r="M130" s="163"/>
      <c r="N130" s="162"/>
      <c r="O130" s="162"/>
      <c r="P130" s="162"/>
      <c r="Q130" s="162"/>
      <c r="R130" s="162"/>
      <c r="S130" s="162"/>
      <c r="T130" s="162"/>
      <c r="U130" s="162"/>
      <c r="V130" s="162"/>
      <c r="W130" s="162"/>
      <c r="X130" s="162"/>
      <c r="Y130" s="162"/>
      <c r="Z130" s="162"/>
      <c r="AA130" s="162"/>
      <c r="AB130" s="162"/>
      <c r="AC130" s="162"/>
      <c r="AD130" s="162"/>
    </row>
    <row r="131" spans="1:30">
      <c r="A131" s="162"/>
      <c r="B131" s="162"/>
      <c r="C131" s="162"/>
      <c r="D131" s="162"/>
      <c r="E131" s="162"/>
      <c r="F131" s="162"/>
      <c r="G131" s="162"/>
      <c r="H131" s="162"/>
      <c r="I131" s="162"/>
      <c r="J131" s="162"/>
      <c r="K131" s="162"/>
      <c r="L131" s="163"/>
      <c r="M131" s="163"/>
      <c r="N131" s="162"/>
      <c r="O131" s="162"/>
      <c r="P131" s="162"/>
      <c r="Q131" s="162"/>
      <c r="R131" s="162"/>
      <c r="S131" s="162"/>
      <c r="T131" s="162"/>
      <c r="U131" s="162"/>
      <c r="V131" s="162"/>
      <c r="W131" s="162"/>
      <c r="X131" s="162"/>
      <c r="Y131" s="162"/>
      <c r="Z131" s="162"/>
      <c r="AA131" s="162"/>
      <c r="AB131" s="162"/>
      <c r="AC131" s="162"/>
      <c r="AD131" s="162"/>
    </row>
    <row r="132" spans="1:30">
      <c r="A132" s="162"/>
      <c r="B132" s="162"/>
      <c r="C132" s="162"/>
      <c r="D132" s="162"/>
      <c r="E132" s="162"/>
      <c r="F132" s="162"/>
      <c r="G132" s="162"/>
      <c r="H132" s="162"/>
      <c r="I132" s="162"/>
      <c r="J132" s="162"/>
      <c r="K132" s="162"/>
      <c r="L132" s="163"/>
      <c r="M132" s="163"/>
      <c r="N132" s="162"/>
      <c r="O132" s="162"/>
      <c r="P132" s="162"/>
      <c r="Q132" s="162"/>
      <c r="R132" s="162"/>
      <c r="S132" s="162"/>
      <c r="T132" s="162"/>
      <c r="U132" s="162"/>
      <c r="V132" s="162"/>
      <c r="W132" s="162"/>
      <c r="X132" s="162"/>
      <c r="Y132" s="162"/>
      <c r="Z132" s="162"/>
      <c r="AA132" s="162"/>
      <c r="AB132" s="162"/>
      <c r="AC132" s="162"/>
      <c r="AD132" s="162"/>
    </row>
    <row r="133" spans="1:30">
      <c r="A133" s="162"/>
      <c r="B133" s="162"/>
      <c r="C133" s="162"/>
      <c r="D133" s="162"/>
      <c r="E133" s="162"/>
      <c r="F133" s="162"/>
      <c r="G133" s="162"/>
      <c r="H133" s="162"/>
      <c r="I133" s="162"/>
      <c r="J133" s="162"/>
      <c r="K133" s="162"/>
      <c r="L133" s="163"/>
      <c r="M133" s="163"/>
      <c r="N133" s="162"/>
      <c r="O133" s="162"/>
      <c r="P133" s="162"/>
      <c r="Q133" s="162"/>
      <c r="R133" s="162"/>
      <c r="S133" s="162"/>
      <c r="T133" s="162"/>
      <c r="U133" s="162"/>
      <c r="V133" s="162"/>
      <c r="W133" s="162"/>
      <c r="X133" s="162"/>
      <c r="Y133" s="162"/>
      <c r="Z133" s="162"/>
      <c r="AA133" s="162"/>
      <c r="AB133" s="162"/>
      <c r="AC133" s="162"/>
      <c r="AD133" s="162"/>
    </row>
    <row r="134" spans="1:30">
      <c r="A134" s="162"/>
      <c r="B134" s="162"/>
      <c r="C134" s="162"/>
      <c r="D134" s="162"/>
      <c r="E134" s="162"/>
      <c r="F134" s="162"/>
      <c r="G134" s="162"/>
      <c r="H134" s="162"/>
      <c r="I134" s="162"/>
      <c r="J134" s="162"/>
      <c r="K134" s="162"/>
      <c r="L134" s="163"/>
      <c r="M134" s="163"/>
      <c r="N134" s="162"/>
      <c r="O134" s="162"/>
      <c r="P134" s="162"/>
      <c r="Q134" s="162"/>
      <c r="R134" s="162"/>
      <c r="S134" s="162"/>
      <c r="T134" s="162"/>
      <c r="U134" s="162"/>
      <c r="V134" s="162"/>
      <c r="W134" s="162"/>
      <c r="X134" s="162"/>
      <c r="Y134" s="162"/>
      <c r="Z134" s="162"/>
      <c r="AA134" s="162"/>
      <c r="AB134" s="162"/>
      <c r="AC134" s="162"/>
      <c r="AD134" s="162"/>
    </row>
    <row r="135" spans="1:30">
      <c r="A135" s="162"/>
      <c r="B135" s="162"/>
      <c r="C135" s="162"/>
      <c r="D135" s="162"/>
      <c r="E135" s="162"/>
      <c r="F135" s="162"/>
      <c r="G135" s="162"/>
      <c r="H135" s="162"/>
      <c r="I135" s="162"/>
      <c r="J135" s="162"/>
      <c r="K135" s="162"/>
      <c r="L135" s="163"/>
      <c r="M135" s="163"/>
      <c r="N135" s="162"/>
      <c r="O135" s="162"/>
      <c r="P135" s="162"/>
      <c r="Q135" s="162"/>
      <c r="R135" s="162"/>
      <c r="S135" s="162"/>
      <c r="T135" s="162"/>
      <c r="U135" s="162"/>
      <c r="V135" s="162"/>
      <c r="W135" s="162"/>
      <c r="X135" s="162"/>
      <c r="Y135" s="162"/>
      <c r="Z135" s="162"/>
      <c r="AA135" s="162"/>
      <c r="AB135" s="162"/>
      <c r="AC135" s="162"/>
      <c r="AD135" s="162"/>
    </row>
    <row r="136" spans="1:30">
      <c r="A136" s="162"/>
      <c r="B136" s="162"/>
      <c r="C136" s="162"/>
      <c r="D136" s="162"/>
      <c r="E136" s="162"/>
      <c r="F136" s="162"/>
      <c r="G136" s="162"/>
      <c r="H136" s="162"/>
      <c r="I136" s="162"/>
      <c r="J136" s="162"/>
      <c r="K136" s="162"/>
      <c r="L136" s="163"/>
      <c r="M136" s="163"/>
      <c r="N136" s="162"/>
      <c r="O136" s="162"/>
      <c r="P136" s="162"/>
      <c r="Q136" s="162"/>
      <c r="R136" s="162"/>
      <c r="S136" s="162"/>
      <c r="T136" s="162"/>
      <c r="U136" s="162"/>
      <c r="V136" s="162"/>
      <c r="W136" s="162"/>
      <c r="X136" s="162"/>
      <c r="Y136" s="162"/>
      <c r="Z136" s="162"/>
      <c r="AA136" s="162"/>
      <c r="AB136" s="162"/>
      <c r="AC136" s="162"/>
      <c r="AD136" s="162"/>
    </row>
    <row r="137" spans="1:30">
      <c r="A137" s="162"/>
      <c r="B137" s="162"/>
      <c r="C137" s="162"/>
      <c r="D137" s="162"/>
      <c r="E137" s="162"/>
      <c r="F137" s="162"/>
      <c r="G137" s="162"/>
      <c r="H137" s="162"/>
      <c r="I137" s="162"/>
      <c r="J137" s="162"/>
      <c r="K137" s="162"/>
      <c r="L137" s="163"/>
      <c r="M137" s="163"/>
      <c r="N137" s="162"/>
      <c r="O137" s="162"/>
      <c r="P137" s="162"/>
      <c r="Q137" s="162"/>
      <c r="R137" s="162"/>
      <c r="S137" s="162"/>
      <c r="T137" s="162"/>
      <c r="U137" s="162"/>
      <c r="V137" s="162"/>
      <c r="W137" s="162"/>
      <c r="X137" s="162"/>
      <c r="Y137" s="162"/>
      <c r="Z137" s="162"/>
      <c r="AA137" s="162"/>
      <c r="AB137" s="162"/>
      <c r="AC137" s="162"/>
      <c r="AD137" s="162"/>
    </row>
    <row r="138" spans="1:30">
      <c r="A138" s="162"/>
      <c r="B138" s="162"/>
      <c r="C138" s="162"/>
      <c r="D138" s="162"/>
      <c r="E138" s="162"/>
      <c r="F138" s="162"/>
      <c r="G138" s="162"/>
      <c r="H138" s="162"/>
      <c r="I138" s="162"/>
      <c r="J138" s="162"/>
      <c r="K138" s="162"/>
      <c r="L138" s="163"/>
      <c r="M138" s="163"/>
      <c r="N138" s="162"/>
      <c r="O138" s="162"/>
      <c r="P138" s="162"/>
      <c r="Q138" s="162"/>
      <c r="R138" s="162"/>
      <c r="S138" s="162"/>
      <c r="T138" s="162"/>
      <c r="U138" s="162"/>
      <c r="V138" s="162"/>
      <c r="W138" s="162"/>
      <c r="X138" s="162"/>
      <c r="Y138" s="162"/>
      <c r="Z138" s="162"/>
      <c r="AA138" s="162"/>
      <c r="AB138" s="162"/>
      <c r="AC138" s="162"/>
      <c r="AD138" s="162"/>
    </row>
    <row r="139" spans="1:30">
      <c r="A139" s="162"/>
      <c r="B139" s="162"/>
      <c r="C139" s="162"/>
      <c r="D139" s="162"/>
      <c r="E139" s="162"/>
      <c r="F139" s="162"/>
      <c r="G139" s="162"/>
      <c r="H139" s="162"/>
      <c r="I139" s="162"/>
      <c r="J139" s="162"/>
      <c r="K139" s="162"/>
      <c r="L139" s="163"/>
      <c r="M139" s="163"/>
      <c r="N139" s="162"/>
      <c r="O139" s="162"/>
      <c r="P139" s="162"/>
      <c r="Q139" s="162"/>
      <c r="R139" s="162"/>
      <c r="S139" s="162"/>
      <c r="T139" s="162"/>
      <c r="U139" s="162"/>
      <c r="V139" s="162"/>
      <c r="W139" s="162"/>
      <c r="X139" s="162"/>
      <c r="Y139" s="162"/>
      <c r="Z139" s="162"/>
      <c r="AA139" s="162"/>
      <c r="AB139" s="162"/>
      <c r="AC139" s="162"/>
      <c r="AD139" s="162"/>
    </row>
    <row r="140" spans="1:30">
      <c r="A140" s="162"/>
      <c r="B140" s="162"/>
      <c r="C140" s="162"/>
      <c r="D140" s="162"/>
      <c r="E140" s="162"/>
      <c r="F140" s="162"/>
      <c r="G140" s="162"/>
      <c r="H140" s="162"/>
      <c r="I140" s="162"/>
      <c r="J140" s="162"/>
      <c r="K140" s="162"/>
      <c r="L140" s="163"/>
      <c r="M140" s="163"/>
      <c r="N140" s="162"/>
      <c r="O140" s="162"/>
      <c r="P140" s="162"/>
      <c r="Q140" s="162"/>
      <c r="R140" s="162"/>
      <c r="S140" s="162"/>
      <c r="T140" s="162"/>
      <c r="U140" s="162"/>
      <c r="V140" s="162"/>
      <c r="W140" s="162"/>
      <c r="X140" s="162"/>
      <c r="Y140" s="162"/>
      <c r="Z140" s="162"/>
      <c r="AA140" s="162"/>
      <c r="AB140" s="162"/>
      <c r="AC140" s="162"/>
      <c r="AD140" s="162"/>
    </row>
    <row r="141" spans="1:30">
      <c r="A141" s="162"/>
      <c r="B141" s="162"/>
      <c r="C141" s="162"/>
      <c r="D141" s="162"/>
      <c r="E141" s="162"/>
      <c r="F141" s="162"/>
      <c r="G141" s="162"/>
      <c r="H141" s="162"/>
      <c r="I141" s="162"/>
      <c r="J141" s="162"/>
      <c r="K141" s="162"/>
      <c r="L141" s="163"/>
      <c r="M141" s="163"/>
      <c r="N141" s="162"/>
      <c r="O141" s="162"/>
      <c r="P141" s="162"/>
      <c r="Q141" s="162"/>
      <c r="R141" s="162"/>
      <c r="S141" s="162"/>
      <c r="T141" s="162"/>
      <c r="U141" s="162"/>
      <c r="V141" s="162"/>
      <c r="W141" s="162"/>
      <c r="X141" s="162"/>
      <c r="Y141" s="162"/>
      <c r="Z141" s="162"/>
      <c r="AA141" s="162"/>
      <c r="AB141" s="162"/>
      <c r="AC141" s="162"/>
      <c r="AD141" s="162"/>
    </row>
    <row r="142" spans="1:30">
      <c r="A142" s="162"/>
      <c r="B142" s="162"/>
      <c r="C142" s="162"/>
      <c r="D142" s="162"/>
      <c r="E142" s="162"/>
      <c r="F142" s="162"/>
      <c r="G142" s="162"/>
      <c r="H142" s="162"/>
      <c r="I142" s="162"/>
      <c r="J142" s="162"/>
      <c r="K142" s="162"/>
      <c r="L142" s="163"/>
      <c r="M142" s="163"/>
      <c r="N142" s="162"/>
      <c r="O142" s="162"/>
      <c r="P142" s="162"/>
      <c r="Q142" s="162"/>
      <c r="R142" s="162"/>
      <c r="S142" s="162"/>
      <c r="T142" s="162"/>
      <c r="U142" s="162"/>
      <c r="V142" s="162"/>
      <c r="W142" s="162"/>
      <c r="X142" s="162"/>
      <c r="Y142" s="162"/>
      <c r="Z142" s="162"/>
      <c r="AA142" s="162"/>
      <c r="AB142" s="162"/>
      <c r="AC142" s="162"/>
      <c r="AD142" s="162"/>
    </row>
    <row r="143" spans="1:30">
      <c r="A143" s="162"/>
      <c r="B143" s="162"/>
      <c r="C143" s="162"/>
      <c r="D143" s="162"/>
      <c r="E143" s="162"/>
      <c r="F143" s="162"/>
      <c r="G143" s="162"/>
      <c r="H143" s="162"/>
      <c r="I143" s="162"/>
      <c r="J143" s="162"/>
      <c r="K143" s="162"/>
      <c r="L143" s="163"/>
      <c r="M143" s="163"/>
      <c r="N143" s="162"/>
      <c r="O143" s="162"/>
      <c r="P143" s="162"/>
      <c r="Q143" s="162"/>
      <c r="R143" s="162"/>
      <c r="S143" s="162"/>
      <c r="T143" s="162"/>
      <c r="U143" s="162"/>
      <c r="V143" s="162"/>
      <c r="W143" s="162"/>
      <c r="X143" s="162"/>
      <c r="Y143" s="162"/>
      <c r="Z143" s="162"/>
      <c r="AA143" s="162"/>
      <c r="AB143" s="162"/>
      <c r="AC143" s="162"/>
      <c r="AD143" s="162"/>
    </row>
    <row r="144" spans="1:30">
      <c r="A144" s="162"/>
      <c r="B144" s="162"/>
      <c r="C144" s="162"/>
      <c r="D144" s="162"/>
      <c r="E144" s="162"/>
      <c r="F144" s="162"/>
      <c r="G144" s="162"/>
      <c r="H144" s="162"/>
      <c r="I144" s="162"/>
      <c r="J144" s="162"/>
      <c r="K144" s="162"/>
      <c r="L144" s="163"/>
      <c r="M144" s="163"/>
      <c r="N144" s="162"/>
      <c r="O144" s="162"/>
      <c r="P144" s="162"/>
      <c r="Q144" s="162"/>
      <c r="R144" s="162"/>
      <c r="S144" s="162"/>
      <c r="T144" s="162"/>
      <c r="U144" s="162"/>
      <c r="V144" s="162"/>
      <c r="W144" s="162"/>
      <c r="X144" s="162"/>
      <c r="Y144" s="162"/>
      <c r="Z144" s="162"/>
      <c r="AA144" s="162"/>
      <c r="AB144" s="162"/>
      <c r="AC144" s="162"/>
      <c r="AD144" s="162"/>
    </row>
    <row r="145" spans="1:30">
      <c r="A145" s="162"/>
      <c r="B145" s="162"/>
      <c r="C145" s="162"/>
      <c r="D145" s="162"/>
      <c r="E145" s="162"/>
      <c r="F145" s="162"/>
      <c r="G145" s="162"/>
      <c r="H145" s="162"/>
      <c r="I145" s="162"/>
      <c r="J145" s="162"/>
      <c r="K145" s="162"/>
      <c r="L145" s="163"/>
      <c r="M145" s="163"/>
      <c r="N145" s="162"/>
      <c r="O145" s="162"/>
      <c r="P145" s="162"/>
      <c r="Q145" s="162"/>
      <c r="R145" s="162"/>
      <c r="S145" s="162"/>
      <c r="T145" s="162"/>
      <c r="U145" s="162"/>
      <c r="V145" s="162"/>
      <c r="W145" s="162"/>
      <c r="X145" s="162"/>
      <c r="Y145" s="162"/>
      <c r="Z145" s="162"/>
      <c r="AA145" s="162"/>
      <c r="AB145" s="162"/>
      <c r="AC145" s="162"/>
      <c r="AD145" s="162"/>
    </row>
    <row r="146" spans="1:30">
      <c r="A146" s="162"/>
      <c r="B146" s="162"/>
      <c r="C146" s="162"/>
      <c r="D146" s="162"/>
      <c r="E146" s="162"/>
      <c r="F146" s="162"/>
      <c r="G146" s="162"/>
      <c r="H146" s="162"/>
      <c r="I146" s="162"/>
      <c r="J146" s="162"/>
      <c r="K146" s="162"/>
      <c r="L146" s="163"/>
      <c r="M146" s="163"/>
      <c r="N146" s="162"/>
      <c r="O146" s="162"/>
      <c r="P146" s="162"/>
      <c r="Q146" s="162"/>
      <c r="R146" s="162"/>
      <c r="S146" s="162"/>
      <c r="T146" s="162"/>
      <c r="U146" s="162"/>
      <c r="V146" s="162"/>
      <c r="W146" s="162"/>
      <c r="X146" s="162"/>
      <c r="Y146" s="162"/>
      <c r="Z146" s="162"/>
      <c r="AA146" s="162"/>
      <c r="AB146" s="162"/>
      <c r="AC146" s="162"/>
      <c r="AD146" s="162"/>
    </row>
    <row r="147" spans="1:30">
      <c r="A147" s="162"/>
      <c r="B147" s="162"/>
      <c r="C147" s="162"/>
      <c r="D147" s="162"/>
      <c r="E147" s="162"/>
      <c r="F147" s="162"/>
      <c r="G147" s="162"/>
      <c r="H147" s="162"/>
      <c r="I147" s="162"/>
      <c r="J147" s="162"/>
      <c r="K147" s="162"/>
      <c r="L147" s="163"/>
      <c r="M147" s="163"/>
      <c r="N147" s="162"/>
      <c r="O147" s="162"/>
      <c r="P147" s="162"/>
      <c r="Q147" s="162"/>
      <c r="R147" s="162"/>
      <c r="S147" s="162"/>
      <c r="T147" s="162"/>
      <c r="U147" s="162"/>
      <c r="V147" s="162"/>
      <c r="W147" s="162"/>
      <c r="X147" s="162"/>
      <c r="Y147" s="162"/>
      <c r="Z147" s="162"/>
      <c r="AA147" s="162"/>
      <c r="AB147" s="162"/>
      <c r="AC147" s="162"/>
      <c r="AD147" s="162"/>
    </row>
    <row r="148" spans="1:30">
      <c r="A148" s="162"/>
      <c r="B148" s="162"/>
      <c r="C148" s="162"/>
      <c r="D148" s="162"/>
      <c r="E148" s="162"/>
      <c r="F148" s="162"/>
      <c r="G148" s="162"/>
      <c r="H148" s="162"/>
      <c r="I148" s="162"/>
      <c r="J148" s="162"/>
      <c r="K148" s="162"/>
      <c r="L148" s="163"/>
      <c r="M148" s="163"/>
      <c r="N148" s="162"/>
      <c r="O148" s="162"/>
      <c r="P148" s="162"/>
      <c r="Q148" s="162"/>
      <c r="R148" s="162"/>
      <c r="S148" s="162"/>
      <c r="T148" s="162"/>
      <c r="U148" s="162"/>
      <c r="V148" s="162"/>
      <c r="W148" s="162"/>
      <c r="X148" s="162"/>
      <c r="Y148" s="162"/>
      <c r="Z148" s="162"/>
      <c r="AA148" s="162"/>
      <c r="AB148" s="162"/>
      <c r="AC148" s="162"/>
      <c r="AD148" s="162"/>
    </row>
    <row r="149" spans="1:30">
      <c r="A149" s="162"/>
      <c r="B149" s="162"/>
      <c r="C149" s="162"/>
      <c r="D149" s="162"/>
      <c r="E149" s="162"/>
      <c r="F149" s="162"/>
      <c r="G149" s="162"/>
      <c r="H149" s="162"/>
      <c r="I149" s="162"/>
      <c r="J149" s="162"/>
      <c r="K149" s="162"/>
      <c r="L149" s="163"/>
      <c r="M149" s="163"/>
      <c r="N149" s="162"/>
      <c r="O149" s="162"/>
      <c r="P149" s="162"/>
      <c r="Q149" s="162"/>
      <c r="R149" s="162"/>
      <c r="S149" s="162"/>
      <c r="T149" s="162"/>
      <c r="U149" s="162"/>
      <c r="V149" s="162"/>
      <c r="W149" s="162"/>
      <c r="X149" s="162"/>
      <c r="Y149" s="162"/>
      <c r="Z149" s="162"/>
      <c r="AA149" s="162"/>
      <c r="AB149" s="162"/>
      <c r="AC149" s="162"/>
      <c r="AD149" s="162"/>
    </row>
    <row r="150" spans="1:30">
      <c r="A150" s="162"/>
      <c r="B150" s="162"/>
      <c r="C150" s="162"/>
      <c r="D150" s="162"/>
      <c r="E150" s="162"/>
      <c r="F150" s="162"/>
      <c r="G150" s="162"/>
      <c r="H150" s="162"/>
      <c r="I150" s="162"/>
      <c r="J150" s="162"/>
      <c r="K150" s="162"/>
      <c r="L150" s="163"/>
      <c r="M150" s="163"/>
      <c r="N150" s="162"/>
      <c r="O150" s="162"/>
      <c r="P150" s="162"/>
      <c r="Q150" s="162"/>
      <c r="R150" s="162"/>
      <c r="S150" s="162"/>
      <c r="T150" s="162"/>
      <c r="U150" s="162"/>
      <c r="V150" s="162"/>
      <c r="W150" s="162"/>
      <c r="X150" s="162"/>
      <c r="Y150" s="162"/>
      <c r="Z150" s="162"/>
      <c r="AA150" s="162"/>
      <c r="AB150" s="162"/>
      <c r="AC150" s="162"/>
      <c r="AD150" s="162"/>
    </row>
    <row r="151" spans="1:30">
      <c r="A151" s="162"/>
      <c r="B151" s="162"/>
      <c r="C151" s="162"/>
      <c r="D151" s="162"/>
      <c r="E151" s="162"/>
      <c r="F151" s="162"/>
      <c r="G151" s="162"/>
      <c r="H151" s="162"/>
      <c r="I151" s="162"/>
      <c r="J151" s="162"/>
      <c r="K151" s="162"/>
      <c r="L151" s="163"/>
      <c r="M151" s="163"/>
      <c r="N151" s="162"/>
      <c r="O151" s="162"/>
      <c r="P151" s="162"/>
      <c r="Q151" s="162"/>
      <c r="R151" s="162"/>
      <c r="S151" s="162"/>
      <c r="T151" s="162"/>
      <c r="U151" s="162"/>
      <c r="V151" s="162"/>
      <c r="W151" s="162"/>
      <c r="X151" s="162"/>
      <c r="Y151" s="162"/>
      <c r="Z151" s="162"/>
      <c r="AA151" s="162"/>
      <c r="AB151" s="162"/>
      <c r="AC151" s="162"/>
      <c r="AD151" s="162"/>
    </row>
    <row r="152" spans="1:30">
      <c r="A152" s="162"/>
      <c r="B152" s="162"/>
      <c r="C152" s="162"/>
      <c r="D152" s="162"/>
      <c r="E152" s="162"/>
      <c r="F152" s="162"/>
      <c r="G152" s="162"/>
      <c r="H152" s="162"/>
      <c r="I152" s="162"/>
      <c r="J152" s="162"/>
      <c r="K152" s="162"/>
      <c r="L152" s="163"/>
      <c r="M152" s="163"/>
      <c r="N152" s="162"/>
      <c r="O152" s="162"/>
      <c r="P152" s="162"/>
      <c r="Q152" s="162"/>
      <c r="R152" s="162"/>
      <c r="S152" s="162"/>
      <c r="T152" s="162"/>
      <c r="U152" s="162"/>
      <c r="V152" s="162"/>
      <c r="W152" s="162"/>
      <c r="X152" s="162"/>
      <c r="Y152" s="162"/>
      <c r="Z152" s="162"/>
      <c r="AA152" s="162"/>
      <c r="AB152" s="162"/>
      <c r="AC152" s="162"/>
      <c r="AD152" s="162"/>
    </row>
    <row r="153" spans="1:30">
      <c r="A153" s="162"/>
      <c r="B153" s="162"/>
      <c r="C153" s="162"/>
      <c r="D153" s="162"/>
      <c r="E153" s="162"/>
      <c r="F153" s="162"/>
      <c r="G153" s="162"/>
      <c r="H153" s="162"/>
      <c r="I153" s="162"/>
      <c r="J153" s="162"/>
      <c r="K153" s="162"/>
      <c r="L153" s="163"/>
      <c r="M153" s="163"/>
      <c r="N153" s="162"/>
      <c r="O153" s="162"/>
      <c r="P153" s="162"/>
      <c r="Q153" s="162"/>
      <c r="R153" s="162"/>
      <c r="S153" s="162"/>
      <c r="T153" s="162"/>
      <c r="U153" s="162"/>
      <c r="V153" s="162"/>
      <c r="W153" s="162"/>
      <c r="X153" s="162"/>
      <c r="Y153" s="162"/>
      <c r="Z153" s="162"/>
      <c r="AA153" s="162"/>
      <c r="AB153" s="162"/>
      <c r="AC153" s="162"/>
      <c r="AD153" s="162"/>
    </row>
    <row r="154" spans="1:30">
      <c r="A154" s="162"/>
      <c r="B154" s="162"/>
      <c r="C154" s="162"/>
      <c r="D154" s="162"/>
      <c r="E154" s="162"/>
      <c r="F154" s="162"/>
      <c r="G154" s="162"/>
      <c r="H154" s="162"/>
      <c r="I154" s="162"/>
      <c r="J154" s="162"/>
      <c r="K154" s="162"/>
      <c r="L154" s="163"/>
      <c r="M154" s="163"/>
      <c r="N154" s="162"/>
      <c r="O154" s="162"/>
      <c r="P154" s="162"/>
      <c r="Q154" s="162"/>
      <c r="R154" s="162"/>
      <c r="S154" s="162"/>
      <c r="T154" s="162"/>
      <c r="U154" s="162"/>
      <c r="V154" s="162"/>
      <c r="W154" s="162"/>
      <c r="X154" s="162"/>
      <c r="Y154" s="162"/>
      <c r="Z154" s="162"/>
      <c r="AA154" s="162"/>
      <c r="AB154" s="162"/>
      <c r="AC154" s="162"/>
      <c r="AD154" s="162"/>
    </row>
    <row r="155" spans="1:30">
      <c r="A155" s="162"/>
      <c r="B155" s="162"/>
      <c r="C155" s="162"/>
      <c r="D155" s="162"/>
      <c r="E155" s="162"/>
      <c r="F155" s="162"/>
      <c r="G155" s="162"/>
      <c r="H155" s="162"/>
      <c r="I155" s="162"/>
      <c r="J155" s="162"/>
      <c r="K155" s="162"/>
      <c r="L155" s="163"/>
      <c r="M155" s="163"/>
      <c r="N155" s="162"/>
      <c r="O155" s="162"/>
      <c r="P155" s="162"/>
      <c r="Q155" s="162"/>
      <c r="R155" s="162"/>
      <c r="S155" s="162"/>
      <c r="T155" s="162"/>
      <c r="U155" s="162"/>
      <c r="V155" s="162"/>
      <c r="W155" s="162"/>
      <c r="X155" s="162"/>
      <c r="Y155" s="162"/>
      <c r="Z155" s="162"/>
      <c r="AA155" s="162"/>
      <c r="AB155" s="162"/>
      <c r="AC155" s="162"/>
      <c r="AD155" s="162"/>
    </row>
    <row r="156" spans="1:30">
      <c r="A156" s="162"/>
      <c r="B156" s="162"/>
      <c r="C156" s="162"/>
      <c r="D156" s="162"/>
      <c r="E156" s="162"/>
      <c r="F156" s="162"/>
      <c r="G156" s="162"/>
      <c r="H156" s="162"/>
      <c r="I156" s="162"/>
      <c r="J156" s="162"/>
      <c r="K156" s="162"/>
      <c r="L156" s="163"/>
      <c r="M156" s="163"/>
      <c r="N156" s="162"/>
      <c r="O156" s="162"/>
      <c r="P156" s="162"/>
      <c r="Q156" s="162"/>
      <c r="R156" s="162"/>
      <c r="S156" s="162"/>
      <c r="T156" s="162"/>
      <c r="U156" s="162"/>
      <c r="V156" s="162"/>
      <c r="W156" s="162"/>
      <c r="X156" s="162"/>
      <c r="Y156" s="162"/>
      <c r="Z156" s="162"/>
      <c r="AA156" s="162"/>
      <c r="AB156" s="162"/>
      <c r="AC156" s="162"/>
      <c r="AD156" s="162"/>
    </row>
    <row r="157" spans="1:30">
      <c r="A157" s="162"/>
      <c r="B157" s="162"/>
      <c r="C157" s="162"/>
      <c r="D157" s="162"/>
      <c r="E157" s="162"/>
      <c r="F157" s="162"/>
      <c r="G157" s="162"/>
      <c r="H157" s="162"/>
      <c r="I157" s="162"/>
      <c r="J157" s="162"/>
      <c r="K157" s="162"/>
      <c r="L157" s="163"/>
      <c r="M157" s="163"/>
      <c r="N157" s="162"/>
      <c r="O157" s="162"/>
      <c r="P157" s="162"/>
      <c r="Q157" s="162"/>
      <c r="R157" s="162"/>
      <c r="S157" s="162"/>
      <c r="T157" s="162"/>
      <c r="U157" s="162"/>
      <c r="V157" s="162"/>
      <c r="W157" s="162"/>
      <c r="X157" s="162"/>
      <c r="Y157" s="162"/>
      <c r="Z157" s="162"/>
      <c r="AA157" s="162"/>
      <c r="AB157" s="162"/>
      <c r="AC157" s="162"/>
      <c r="AD157" s="162"/>
    </row>
    <row r="158" spans="1:30">
      <c r="A158" s="162"/>
      <c r="B158" s="162"/>
      <c r="C158" s="162"/>
      <c r="D158" s="162"/>
      <c r="E158" s="162"/>
      <c r="F158" s="162"/>
      <c r="G158" s="162"/>
      <c r="H158" s="162"/>
      <c r="I158" s="162"/>
      <c r="J158" s="162"/>
      <c r="K158" s="162"/>
      <c r="L158" s="163"/>
      <c r="M158" s="163"/>
      <c r="N158" s="162"/>
      <c r="O158" s="162"/>
      <c r="P158" s="162"/>
      <c r="Q158" s="162"/>
      <c r="R158" s="162"/>
      <c r="S158" s="162"/>
      <c r="T158" s="162"/>
      <c r="U158" s="162"/>
      <c r="V158" s="162"/>
      <c r="W158" s="162"/>
      <c r="X158" s="162"/>
      <c r="Y158" s="162"/>
      <c r="Z158" s="162"/>
      <c r="AA158" s="162"/>
      <c r="AB158" s="162"/>
      <c r="AC158" s="162"/>
      <c r="AD158" s="162"/>
    </row>
    <row r="159" spans="1:30">
      <c r="A159" s="162"/>
      <c r="B159" s="162"/>
      <c r="C159" s="162"/>
      <c r="D159" s="162"/>
      <c r="E159" s="162"/>
      <c r="F159" s="162"/>
      <c r="G159" s="162"/>
      <c r="H159" s="162"/>
      <c r="I159" s="162"/>
      <c r="J159" s="162"/>
      <c r="K159" s="162"/>
      <c r="L159" s="163"/>
      <c r="M159" s="163"/>
      <c r="N159" s="162"/>
      <c r="O159" s="162"/>
      <c r="P159" s="162"/>
      <c r="Q159" s="162"/>
      <c r="R159" s="162"/>
      <c r="S159" s="162"/>
      <c r="T159" s="162"/>
      <c r="U159" s="162"/>
      <c r="V159" s="162"/>
      <c r="W159" s="162"/>
      <c r="X159" s="162"/>
      <c r="Y159" s="162"/>
      <c r="Z159" s="162"/>
      <c r="AA159" s="162"/>
      <c r="AB159" s="162"/>
      <c r="AC159" s="162"/>
      <c r="AD159" s="162"/>
    </row>
    <row r="160" spans="1:30">
      <c r="A160" s="162"/>
      <c r="B160" s="162"/>
      <c r="C160" s="162"/>
      <c r="D160" s="162"/>
      <c r="E160" s="162"/>
      <c r="F160" s="162"/>
      <c r="G160" s="162"/>
      <c r="H160" s="162"/>
      <c r="I160" s="162"/>
      <c r="J160" s="162"/>
      <c r="K160" s="162"/>
      <c r="L160" s="163"/>
      <c r="M160" s="163"/>
      <c r="N160" s="162"/>
      <c r="O160" s="162"/>
      <c r="P160" s="162"/>
      <c r="Q160" s="162"/>
      <c r="R160" s="162"/>
      <c r="S160" s="162"/>
      <c r="T160" s="162"/>
      <c r="U160" s="162"/>
      <c r="V160" s="162"/>
      <c r="W160" s="162"/>
      <c r="X160" s="162"/>
      <c r="Y160" s="162"/>
      <c r="Z160" s="162"/>
      <c r="AA160" s="162"/>
      <c r="AB160" s="162"/>
      <c r="AC160" s="162"/>
      <c r="AD160" s="162"/>
    </row>
    <row r="161" spans="1:30">
      <c r="A161" s="162"/>
      <c r="B161" s="162"/>
      <c r="C161" s="162"/>
      <c r="D161" s="162"/>
      <c r="E161" s="162"/>
      <c r="F161" s="162"/>
      <c r="G161" s="162"/>
      <c r="H161" s="162"/>
      <c r="I161" s="162"/>
      <c r="J161" s="162"/>
      <c r="K161" s="162"/>
      <c r="L161" s="163"/>
      <c r="M161" s="163"/>
      <c r="N161" s="162"/>
      <c r="O161" s="162"/>
      <c r="P161" s="162"/>
      <c r="Q161" s="162"/>
      <c r="R161" s="162"/>
      <c r="S161" s="162"/>
      <c r="T161" s="162"/>
      <c r="U161" s="162"/>
      <c r="V161" s="162"/>
      <c r="W161" s="162"/>
      <c r="X161" s="162"/>
      <c r="Y161" s="162"/>
      <c r="Z161" s="162"/>
      <c r="AA161" s="162"/>
      <c r="AB161" s="162"/>
      <c r="AC161" s="162"/>
      <c r="AD161" s="162"/>
    </row>
    <row r="162" spans="1:30">
      <c r="A162" s="162"/>
      <c r="B162" s="162"/>
      <c r="C162" s="162"/>
      <c r="D162" s="162"/>
      <c r="E162" s="162"/>
      <c r="F162" s="162"/>
      <c r="G162" s="162"/>
      <c r="H162" s="162"/>
      <c r="I162" s="162"/>
      <c r="J162" s="162"/>
      <c r="K162" s="162"/>
      <c r="L162" s="163"/>
      <c r="M162" s="163"/>
      <c r="N162" s="162"/>
      <c r="O162" s="162"/>
      <c r="P162" s="162"/>
      <c r="Q162" s="162"/>
      <c r="R162" s="162"/>
      <c r="S162" s="162"/>
      <c r="T162" s="162"/>
      <c r="U162" s="162"/>
      <c r="V162" s="162"/>
      <c r="W162" s="162"/>
      <c r="X162" s="162"/>
      <c r="Y162" s="162"/>
      <c r="Z162" s="162"/>
      <c r="AA162" s="162"/>
      <c r="AB162" s="162"/>
      <c r="AC162" s="162"/>
      <c r="AD162" s="162"/>
    </row>
    <row r="163" spans="1:30">
      <c r="A163" s="162"/>
      <c r="B163" s="162"/>
      <c r="C163" s="162"/>
      <c r="D163" s="162"/>
      <c r="E163" s="162"/>
      <c r="F163" s="162"/>
      <c r="G163" s="162"/>
      <c r="H163" s="162"/>
      <c r="I163" s="162"/>
      <c r="J163" s="162"/>
      <c r="K163" s="162"/>
      <c r="L163" s="163"/>
      <c r="M163" s="163"/>
      <c r="N163" s="162"/>
      <c r="O163" s="162"/>
      <c r="P163" s="162"/>
      <c r="Q163" s="162"/>
      <c r="R163" s="162"/>
      <c r="S163" s="162"/>
      <c r="T163" s="162"/>
      <c r="U163" s="162"/>
      <c r="V163" s="162"/>
      <c r="W163" s="162"/>
      <c r="X163" s="162"/>
      <c r="Y163" s="162"/>
      <c r="Z163" s="162"/>
      <c r="AA163" s="162"/>
      <c r="AB163" s="162"/>
      <c r="AC163" s="162"/>
      <c r="AD163" s="162"/>
    </row>
    <row r="164" spans="1:30">
      <c r="A164" s="162"/>
      <c r="B164" s="162"/>
      <c r="C164" s="162"/>
      <c r="D164" s="162"/>
      <c r="E164" s="162"/>
      <c r="F164" s="162"/>
      <c r="G164" s="162"/>
      <c r="H164" s="162"/>
      <c r="I164" s="162"/>
      <c r="J164" s="162"/>
      <c r="K164" s="162"/>
      <c r="L164" s="163"/>
      <c r="M164" s="163"/>
      <c r="N164" s="162"/>
      <c r="O164" s="162"/>
      <c r="P164" s="162"/>
      <c r="Q164" s="162"/>
      <c r="R164" s="162"/>
      <c r="S164" s="162"/>
      <c r="T164" s="162"/>
      <c r="U164" s="162"/>
      <c r="V164" s="162"/>
      <c r="W164" s="162"/>
      <c r="X164" s="162"/>
      <c r="Y164" s="162"/>
      <c r="Z164" s="162"/>
      <c r="AA164" s="162"/>
      <c r="AB164" s="162"/>
      <c r="AC164" s="162"/>
      <c r="AD164" s="162"/>
    </row>
    <row r="165" spans="1:30">
      <c r="A165" s="162"/>
      <c r="B165" s="162"/>
      <c r="C165" s="162"/>
      <c r="D165" s="162"/>
      <c r="E165" s="162"/>
      <c r="F165" s="162"/>
      <c r="G165" s="162"/>
      <c r="H165" s="162"/>
      <c r="I165" s="162"/>
      <c r="J165" s="162"/>
      <c r="K165" s="162"/>
      <c r="L165" s="163"/>
      <c r="M165" s="163"/>
      <c r="N165" s="162"/>
      <c r="O165" s="162"/>
      <c r="P165" s="162"/>
      <c r="Q165" s="162"/>
      <c r="R165" s="162"/>
      <c r="S165" s="162"/>
      <c r="T165" s="162"/>
      <c r="U165" s="162"/>
      <c r="V165" s="162"/>
      <c r="W165" s="162"/>
      <c r="X165" s="162"/>
      <c r="Y165" s="162"/>
      <c r="Z165" s="162"/>
      <c r="AA165" s="162"/>
      <c r="AB165" s="162"/>
      <c r="AC165" s="162"/>
      <c r="AD165" s="162"/>
    </row>
    <row r="166" spans="1:30">
      <c r="A166" s="162"/>
      <c r="B166" s="162"/>
      <c r="C166" s="162"/>
      <c r="D166" s="162"/>
      <c r="E166" s="162"/>
      <c r="F166" s="162"/>
      <c r="G166" s="162"/>
      <c r="H166" s="162"/>
      <c r="I166" s="162"/>
      <c r="J166" s="162"/>
      <c r="K166" s="162"/>
      <c r="L166" s="163"/>
      <c r="M166" s="163"/>
      <c r="N166" s="162"/>
      <c r="O166" s="162"/>
      <c r="P166" s="162"/>
      <c r="Q166" s="162"/>
      <c r="R166" s="162"/>
      <c r="S166" s="162"/>
      <c r="T166" s="162"/>
      <c r="U166" s="162"/>
      <c r="V166" s="162"/>
      <c r="W166" s="162"/>
      <c r="X166" s="162"/>
      <c r="Y166" s="162"/>
      <c r="Z166" s="162"/>
      <c r="AA166" s="162"/>
      <c r="AB166" s="162"/>
      <c r="AC166" s="162"/>
      <c r="AD166" s="162"/>
    </row>
    <row r="167" spans="1:30">
      <c r="A167" s="162"/>
      <c r="B167" s="162"/>
      <c r="C167" s="162"/>
      <c r="D167" s="162"/>
      <c r="E167" s="162"/>
      <c r="F167" s="162"/>
      <c r="G167" s="162"/>
      <c r="H167" s="162"/>
      <c r="I167" s="162"/>
      <c r="J167" s="162"/>
      <c r="K167" s="162"/>
      <c r="L167" s="163"/>
      <c r="M167" s="163"/>
      <c r="N167" s="162"/>
      <c r="O167" s="162"/>
      <c r="P167" s="162"/>
      <c r="Q167" s="162"/>
      <c r="R167" s="162"/>
      <c r="S167" s="162"/>
      <c r="T167" s="162"/>
      <c r="U167" s="162"/>
      <c r="V167" s="162"/>
      <c r="W167" s="162"/>
      <c r="X167" s="162"/>
      <c r="Y167" s="162"/>
      <c r="Z167" s="162"/>
      <c r="AA167" s="162"/>
      <c r="AB167" s="162"/>
      <c r="AC167" s="162"/>
      <c r="AD167" s="162"/>
    </row>
    <row r="168" spans="1:30">
      <c r="A168" s="162"/>
      <c r="B168" s="162"/>
      <c r="C168" s="162"/>
      <c r="D168" s="162"/>
      <c r="E168" s="162"/>
      <c r="F168" s="162"/>
      <c r="G168" s="162"/>
      <c r="H168" s="162"/>
      <c r="I168" s="162"/>
      <c r="J168" s="162"/>
      <c r="K168" s="162"/>
      <c r="L168" s="163"/>
      <c r="M168" s="163"/>
      <c r="N168" s="162"/>
      <c r="O168" s="162"/>
      <c r="P168" s="162"/>
      <c r="Q168" s="162"/>
      <c r="R168" s="162"/>
      <c r="S168" s="162"/>
      <c r="T168" s="162"/>
      <c r="U168" s="162"/>
      <c r="V168" s="162"/>
      <c r="W168" s="162"/>
      <c r="X168" s="162"/>
      <c r="Y168" s="162"/>
      <c r="Z168" s="162"/>
      <c r="AA168" s="162"/>
      <c r="AB168" s="162"/>
      <c r="AC168" s="162"/>
      <c r="AD168" s="162"/>
    </row>
    <row r="169" spans="1:30">
      <c r="A169" s="162"/>
      <c r="B169" s="162"/>
      <c r="C169" s="162"/>
      <c r="D169" s="162"/>
      <c r="E169" s="162"/>
      <c r="F169" s="162"/>
      <c r="G169" s="162"/>
      <c r="H169" s="162"/>
      <c r="I169" s="162"/>
      <c r="J169" s="162"/>
      <c r="K169" s="162"/>
      <c r="L169" s="163"/>
      <c r="M169" s="163"/>
      <c r="N169" s="162"/>
      <c r="O169" s="162"/>
      <c r="P169" s="162"/>
      <c r="Q169" s="162"/>
      <c r="R169" s="162"/>
      <c r="S169" s="162"/>
      <c r="T169" s="162"/>
      <c r="U169" s="162"/>
      <c r="V169" s="162"/>
      <c r="W169" s="162"/>
      <c r="X169" s="162"/>
      <c r="Y169" s="162"/>
      <c r="Z169" s="162"/>
      <c r="AA169" s="162"/>
      <c r="AB169" s="162"/>
      <c r="AC169" s="162"/>
      <c r="AD169" s="162"/>
    </row>
    <row r="170" spans="1:30">
      <c r="A170" s="162"/>
      <c r="B170" s="162"/>
      <c r="C170" s="162"/>
      <c r="D170" s="162"/>
      <c r="E170" s="162"/>
      <c r="F170" s="162"/>
      <c r="G170" s="162"/>
      <c r="H170" s="162"/>
      <c r="I170" s="162"/>
      <c r="J170" s="162"/>
      <c r="K170" s="162"/>
      <c r="L170" s="163"/>
      <c r="M170" s="163"/>
      <c r="N170" s="162"/>
      <c r="O170" s="162"/>
      <c r="P170" s="162"/>
      <c r="Q170" s="162"/>
      <c r="R170" s="162"/>
      <c r="S170" s="162"/>
      <c r="T170" s="162"/>
      <c r="U170" s="162"/>
      <c r="V170" s="162"/>
      <c r="W170" s="162"/>
      <c r="X170" s="162"/>
      <c r="Y170" s="162"/>
      <c r="Z170" s="162"/>
      <c r="AA170" s="162"/>
      <c r="AB170" s="162"/>
      <c r="AC170" s="162"/>
      <c r="AD170" s="162"/>
    </row>
    <row r="171" spans="1:30">
      <c r="A171" s="162"/>
      <c r="B171" s="162"/>
      <c r="C171" s="162"/>
      <c r="D171" s="162"/>
      <c r="E171" s="162"/>
      <c r="F171" s="162"/>
      <c r="G171" s="162"/>
      <c r="H171" s="162"/>
      <c r="I171" s="162"/>
      <c r="J171" s="162"/>
      <c r="K171" s="162"/>
      <c r="L171" s="163"/>
      <c r="M171" s="163"/>
      <c r="N171" s="162"/>
      <c r="O171" s="162"/>
      <c r="P171" s="162"/>
      <c r="Q171" s="162"/>
      <c r="R171" s="162"/>
      <c r="S171" s="162"/>
      <c r="T171" s="162"/>
      <c r="U171" s="162"/>
      <c r="V171" s="162"/>
      <c r="W171" s="162"/>
      <c r="X171" s="162"/>
      <c r="Y171" s="162"/>
      <c r="Z171" s="162"/>
      <c r="AA171" s="162"/>
      <c r="AB171" s="162"/>
      <c r="AC171" s="162"/>
      <c r="AD171" s="162"/>
    </row>
    <row r="172" spans="1:30">
      <c r="A172" s="162"/>
      <c r="B172" s="162"/>
      <c r="C172" s="162"/>
      <c r="D172" s="162"/>
      <c r="E172" s="162"/>
      <c r="F172" s="162"/>
      <c r="G172" s="162"/>
      <c r="H172" s="162"/>
      <c r="I172" s="162"/>
      <c r="J172" s="162"/>
      <c r="K172" s="162"/>
      <c r="L172" s="163"/>
      <c r="M172" s="163"/>
      <c r="N172" s="162"/>
      <c r="O172" s="162"/>
      <c r="P172" s="162"/>
      <c r="Q172" s="162"/>
      <c r="R172" s="162"/>
      <c r="S172" s="162"/>
      <c r="T172" s="162"/>
      <c r="U172" s="162"/>
      <c r="V172" s="162"/>
      <c r="W172" s="162"/>
      <c r="X172" s="162"/>
      <c r="Y172" s="162"/>
      <c r="Z172" s="162"/>
      <c r="AA172" s="162"/>
      <c r="AB172" s="162"/>
      <c r="AC172" s="162"/>
      <c r="AD172" s="162"/>
    </row>
    <row r="173" spans="1:30">
      <c r="A173" s="162"/>
      <c r="B173" s="162"/>
      <c r="C173" s="162"/>
      <c r="D173" s="162"/>
      <c r="E173" s="162"/>
      <c r="F173" s="162"/>
      <c r="G173" s="162"/>
      <c r="H173" s="162"/>
      <c r="I173" s="162"/>
      <c r="J173" s="162"/>
      <c r="K173" s="162"/>
      <c r="L173" s="163"/>
      <c r="M173" s="163"/>
      <c r="N173" s="162"/>
      <c r="O173" s="162"/>
      <c r="P173" s="162"/>
      <c r="Q173" s="162"/>
      <c r="R173" s="162"/>
      <c r="S173" s="162"/>
      <c r="T173" s="162"/>
      <c r="U173" s="162"/>
      <c r="V173" s="162"/>
      <c r="W173" s="162"/>
      <c r="X173" s="162"/>
      <c r="Y173" s="162"/>
      <c r="Z173" s="162"/>
      <c r="AA173" s="162"/>
      <c r="AB173" s="162"/>
      <c r="AC173" s="162"/>
      <c r="AD173" s="162"/>
    </row>
    <row r="174" spans="1:30">
      <c r="A174" s="162"/>
      <c r="B174" s="162"/>
      <c r="C174" s="162"/>
      <c r="D174" s="162"/>
      <c r="E174" s="162"/>
      <c r="F174" s="162"/>
      <c r="G174" s="162"/>
      <c r="H174" s="162"/>
      <c r="I174" s="162"/>
      <c r="J174" s="162"/>
      <c r="K174" s="162"/>
      <c r="L174" s="163"/>
      <c r="M174" s="163"/>
      <c r="N174" s="162"/>
      <c r="O174" s="162"/>
      <c r="P174" s="162"/>
      <c r="Q174" s="162"/>
      <c r="R174" s="162"/>
      <c r="S174" s="162"/>
      <c r="T174" s="162"/>
      <c r="U174" s="162"/>
      <c r="V174" s="162"/>
      <c r="W174" s="162"/>
      <c r="X174" s="162"/>
      <c r="Y174" s="162"/>
      <c r="Z174" s="162"/>
      <c r="AA174" s="162"/>
      <c r="AB174" s="162"/>
      <c r="AC174" s="162"/>
      <c r="AD174" s="162"/>
    </row>
    <row r="175" spans="1:30">
      <c r="A175" s="162"/>
      <c r="B175" s="162"/>
      <c r="C175" s="162"/>
      <c r="D175" s="162"/>
      <c r="E175" s="162"/>
      <c r="F175" s="162"/>
      <c r="G175" s="162"/>
      <c r="H175" s="162"/>
      <c r="I175" s="162"/>
      <c r="J175" s="162"/>
      <c r="K175" s="162"/>
      <c r="L175" s="163"/>
      <c r="M175" s="163"/>
      <c r="N175" s="162"/>
      <c r="O175" s="162"/>
      <c r="P175" s="162"/>
      <c r="Q175" s="162"/>
      <c r="R175" s="162"/>
      <c r="S175" s="162"/>
      <c r="T175" s="162"/>
      <c r="U175" s="162"/>
      <c r="V175" s="162"/>
      <c r="W175" s="162"/>
      <c r="X175" s="162"/>
      <c r="Y175" s="162"/>
      <c r="Z175" s="162"/>
      <c r="AA175" s="162"/>
      <c r="AB175" s="162"/>
      <c r="AC175" s="162"/>
      <c r="AD175" s="162"/>
    </row>
    <row r="176" spans="1:30">
      <c r="A176" s="162"/>
      <c r="B176" s="162"/>
      <c r="C176" s="162"/>
      <c r="D176" s="162"/>
      <c r="E176" s="162"/>
      <c r="F176" s="162"/>
      <c r="G176" s="162"/>
      <c r="H176" s="162"/>
      <c r="I176" s="162"/>
      <c r="J176" s="162"/>
      <c r="K176" s="162"/>
      <c r="L176" s="163"/>
      <c r="M176" s="163"/>
      <c r="N176" s="162"/>
      <c r="O176" s="162"/>
      <c r="P176" s="162"/>
      <c r="Q176" s="162"/>
      <c r="R176" s="162"/>
      <c r="S176" s="162"/>
      <c r="T176" s="162"/>
      <c r="U176" s="162"/>
      <c r="V176" s="162"/>
      <c r="W176" s="162"/>
      <c r="X176" s="162"/>
      <c r="Y176" s="162"/>
      <c r="Z176" s="162"/>
      <c r="AA176" s="162"/>
      <c r="AB176" s="162"/>
      <c r="AC176" s="162"/>
      <c r="AD176" s="162"/>
    </row>
    <row r="177" spans="1:30">
      <c r="A177" s="162"/>
      <c r="B177" s="162"/>
      <c r="C177" s="162"/>
      <c r="D177" s="162"/>
      <c r="E177" s="162"/>
      <c r="F177" s="162"/>
      <c r="G177" s="162"/>
      <c r="H177" s="162"/>
      <c r="I177" s="162"/>
      <c r="J177" s="162"/>
      <c r="K177" s="162"/>
      <c r="L177" s="163"/>
      <c r="M177" s="163"/>
      <c r="N177" s="162"/>
      <c r="O177" s="162"/>
      <c r="P177" s="162"/>
      <c r="Q177" s="162"/>
      <c r="R177" s="162"/>
      <c r="S177" s="162"/>
      <c r="T177" s="162"/>
      <c r="U177" s="162"/>
      <c r="V177" s="162"/>
      <c r="W177" s="162"/>
      <c r="X177" s="162"/>
      <c r="Y177" s="162"/>
      <c r="Z177" s="162"/>
      <c r="AA177" s="162"/>
      <c r="AB177" s="162"/>
      <c r="AC177" s="162"/>
      <c r="AD177" s="162"/>
    </row>
    <row r="178" spans="1:30">
      <c r="A178" s="162"/>
      <c r="B178" s="162"/>
      <c r="C178" s="162"/>
      <c r="D178" s="162"/>
      <c r="E178" s="162"/>
      <c r="F178" s="162"/>
      <c r="G178" s="162"/>
      <c r="H178" s="162"/>
      <c r="I178" s="162"/>
      <c r="J178" s="162"/>
      <c r="K178" s="162"/>
      <c r="L178" s="163"/>
      <c r="M178" s="163"/>
      <c r="N178" s="162"/>
      <c r="O178" s="162"/>
      <c r="P178" s="162"/>
      <c r="Q178" s="162"/>
      <c r="R178" s="162"/>
      <c r="S178" s="162"/>
      <c r="T178" s="162"/>
      <c r="U178" s="162"/>
      <c r="V178" s="162"/>
      <c r="W178" s="162"/>
      <c r="X178" s="162"/>
      <c r="Y178" s="162"/>
      <c r="Z178" s="162"/>
      <c r="AA178" s="162"/>
      <c r="AB178" s="162"/>
      <c r="AC178" s="162"/>
      <c r="AD178" s="162"/>
    </row>
    <row r="179" spans="1:30">
      <c r="A179" s="162"/>
      <c r="B179" s="162"/>
      <c r="C179" s="162"/>
      <c r="D179" s="162"/>
      <c r="E179" s="162"/>
      <c r="F179" s="162"/>
      <c r="G179" s="162"/>
      <c r="H179" s="162"/>
      <c r="I179" s="162"/>
      <c r="J179" s="162"/>
      <c r="K179" s="162"/>
      <c r="L179" s="163"/>
      <c r="M179" s="163"/>
      <c r="N179" s="162"/>
      <c r="O179" s="162"/>
      <c r="P179" s="162"/>
      <c r="Q179" s="162"/>
      <c r="R179" s="162"/>
      <c r="S179" s="162"/>
      <c r="T179" s="162"/>
      <c r="U179" s="162"/>
      <c r="V179" s="162"/>
      <c r="W179" s="162"/>
      <c r="X179" s="162"/>
      <c r="Y179" s="162"/>
      <c r="Z179" s="162"/>
      <c r="AA179" s="162"/>
      <c r="AB179" s="162"/>
      <c r="AC179" s="162"/>
      <c r="AD179" s="162"/>
    </row>
    <row r="180" spans="1:30">
      <c r="A180" s="162"/>
      <c r="B180" s="162"/>
      <c r="C180" s="162"/>
      <c r="D180" s="162"/>
      <c r="E180" s="162"/>
      <c r="F180" s="162"/>
      <c r="G180" s="162"/>
      <c r="H180" s="162"/>
      <c r="I180" s="162"/>
      <c r="J180" s="162"/>
      <c r="K180" s="162"/>
      <c r="L180" s="163"/>
      <c r="M180" s="163"/>
      <c r="N180" s="162"/>
      <c r="O180" s="162"/>
      <c r="P180" s="162"/>
      <c r="Q180" s="162"/>
      <c r="R180" s="162"/>
      <c r="S180" s="162"/>
      <c r="T180" s="162"/>
      <c r="U180" s="162"/>
      <c r="V180" s="162"/>
      <c r="W180" s="162"/>
      <c r="X180" s="162"/>
      <c r="Y180" s="162"/>
      <c r="Z180" s="162"/>
      <c r="AA180" s="162"/>
      <c r="AB180" s="162"/>
      <c r="AC180" s="162"/>
      <c r="AD180" s="162"/>
    </row>
    <row r="181" spans="1:30">
      <c r="A181" s="162"/>
      <c r="B181" s="162"/>
      <c r="C181" s="162"/>
      <c r="D181" s="162"/>
      <c r="E181" s="162"/>
      <c r="F181" s="162"/>
      <c r="G181" s="162"/>
      <c r="H181" s="162"/>
      <c r="I181" s="162"/>
      <c r="J181" s="162"/>
      <c r="K181" s="162"/>
      <c r="L181" s="163"/>
      <c r="M181" s="163"/>
      <c r="N181" s="162"/>
      <c r="O181" s="162"/>
      <c r="P181" s="162"/>
      <c r="Q181" s="162"/>
      <c r="R181" s="162"/>
      <c r="S181" s="162"/>
      <c r="T181" s="162"/>
      <c r="U181" s="162"/>
      <c r="V181" s="162"/>
      <c r="W181" s="162"/>
      <c r="X181" s="162"/>
      <c r="Y181" s="162"/>
      <c r="Z181" s="162"/>
      <c r="AA181" s="162"/>
      <c r="AB181" s="162"/>
      <c r="AC181" s="162"/>
      <c r="AD181" s="162"/>
    </row>
    <row r="182" spans="1:30">
      <c r="A182" s="162"/>
      <c r="B182" s="162"/>
      <c r="C182" s="162"/>
      <c r="D182" s="162"/>
      <c r="E182" s="162"/>
      <c r="F182" s="162"/>
      <c r="G182" s="162"/>
      <c r="H182" s="162"/>
      <c r="I182" s="162"/>
      <c r="J182" s="162"/>
      <c r="K182" s="162"/>
      <c r="L182" s="163"/>
      <c r="M182" s="163"/>
      <c r="N182" s="162"/>
      <c r="O182" s="162"/>
      <c r="P182" s="162"/>
      <c r="Q182" s="162"/>
      <c r="R182" s="162"/>
      <c r="S182" s="162"/>
      <c r="T182" s="162"/>
      <c r="U182" s="162"/>
      <c r="V182" s="162"/>
      <c r="W182" s="162"/>
      <c r="X182" s="162"/>
      <c r="Y182" s="162"/>
      <c r="Z182" s="162"/>
      <c r="AA182" s="162"/>
      <c r="AB182" s="162"/>
      <c r="AC182" s="162"/>
      <c r="AD182" s="162"/>
    </row>
    <row r="183" spans="1:30">
      <c r="A183" s="162"/>
      <c r="B183" s="162"/>
      <c r="C183" s="162"/>
      <c r="D183" s="162"/>
      <c r="E183" s="162"/>
      <c r="F183" s="162"/>
      <c r="G183" s="162"/>
      <c r="H183" s="162"/>
      <c r="I183" s="162"/>
      <c r="J183" s="162"/>
      <c r="K183" s="162"/>
      <c r="L183" s="163"/>
      <c r="M183" s="163"/>
      <c r="N183" s="162"/>
      <c r="O183" s="162"/>
      <c r="P183" s="162"/>
      <c r="Q183" s="162"/>
      <c r="R183" s="162"/>
      <c r="S183" s="162"/>
      <c r="T183" s="162"/>
      <c r="U183" s="162"/>
      <c r="V183" s="162"/>
      <c r="W183" s="162"/>
      <c r="X183" s="162"/>
      <c r="Y183" s="162"/>
      <c r="Z183" s="162"/>
      <c r="AA183" s="162"/>
      <c r="AB183" s="162"/>
      <c r="AC183" s="162"/>
      <c r="AD183" s="162"/>
    </row>
    <row r="184" spans="1:30">
      <c r="A184" s="162"/>
      <c r="B184" s="162"/>
      <c r="C184" s="162"/>
      <c r="D184" s="162"/>
      <c r="E184" s="162"/>
      <c r="F184" s="162"/>
      <c r="G184" s="162"/>
      <c r="H184" s="162"/>
      <c r="I184" s="162"/>
      <c r="J184" s="162"/>
      <c r="K184" s="162"/>
      <c r="L184" s="163"/>
      <c r="M184" s="163"/>
      <c r="N184" s="162"/>
      <c r="O184" s="162"/>
      <c r="P184" s="162"/>
      <c r="Q184" s="162"/>
      <c r="R184" s="162"/>
      <c r="S184" s="162"/>
      <c r="T184" s="162"/>
      <c r="U184" s="162"/>
      <c r="V184" s="162"/>
      <c r="W184" s="162"/>
      <c r="X184" s="162"/>
      <c r="Y184" s="162"/>
      <c r="Z184" s="162"/>
      <c r="AA184" s="162"/>
      <c r="AB184" s="162"/>
      <c r="AC184" s="162"/>
      <c r="AD184" s="162"/>
    </row>
    <row r="185" spans="1:30">
      <c r="A185" s="162"/>
      <c r="B185" s="162"/>
      <c r="C185" s="162"/>
      <c r="D185" s="162"/>
      <c r="E185" s="162"/>
      <c r="F185" s="162"/>
      <c r="G185" s="162"/>
      <c r="H185" s="162"/>
      <c r="I185" s="162"/>
      <c r="J185" s="162"/>
      <c r="K185" s="162"/>
      <c r="L185" s="163"/>
      <c r="M185" s="163"/>
      <c r="N185" s="162"/>
      <c r="O185" s="162"/>
      <c r="P185" s="162"/>
      <c r="Q185" s="162"/>
      <c r="R185" s="162"/>
      <c r="S185" s="162"/>
      <c r="T185" s="162"/>
      <c r="U185" s="162"/>
      <c r="V185" s="162"/>
      <c r="W185" s="162"/>
      <c r="X185" s="162"/>
      <c r="Y185" s="162"/>
      <c r="Z185" s="162"/>
      <c r="AA185" s="162"/>
      <c r="AB185" s="162"/>
      <c r="AC185" s="162"/>
      <c r="AD185" s="162"/>
    </row>
    <row r="186" spans="1:30">
      <c r="A186" s="162"/>
      <c r="B186" s="162"/>
      <c r="C186" s="162"/>
      <c r="D186" s="162"/>
      <c r="E186" s="162"/>
      <c r="F186" s="162"/>
      <c r="G186" s="162"/>
      <c r="H186" s="162"/>
      <c r="I186" s="162"/>
      <c r="J186" s="162"/>
      <c r="K186" s="162"/>
      <c r="L186" s="163"/>
      <c r="M186" s="163"/>
      <c r="N186" s="162"/>
      <c r="O186" s="162"/>
      <c r="P186" s="162"/>
      <c r="Q186" s="162"/>
      <c r="R186" s="162"/>
      <c r="S186" s="162"/>
      <c r="T186" s="162"/>
      <c r="U186" s="162"/>
      <c r="V186" s="162"/>
      <c r="W186" s="162"/>
      <c r="X186" s="162"/>
      <c r="Y186" s="162"/>
      <c r="Z186" s="162"/>
      <c r="AA186" s="162"/>
      <c r="AB186" s="162"/>
      <c r="AC186" s="162"/>
      <c r="AD186" s="162"/>
    </row>
    <row r="187" spans="1:30">
      <c r="A187" s="162"/>
      <c r="B187" s="162"/>
      <c r="C187" s="162"/>
      <c r="D187" s="162"/>
      <c r="E187" s="162"/>
      <c r="F187" s="162"/>
      <c r="G187" s="162"/>
      <c r="H187" s="162"/>
      <c r="I187" s="162"/>
      <c r="J187" s="162"/>
      <c r="K187" s="162"/>
      <c r="L187" s="163"/>
      <c r="M187" s="163"/>
      <c r="N187" s="162"/>
      <c r="O187" s="162"/>
      <c r="P187" s="162"/>
      <c r="Q187" s="162"/>
      <c r="R187" s="162"/>
      <c r="S187" s="162"/>
      <c r="T187" s="162"/>
      <c r="U187" s="162"/>
      <c r="V187" s="162"/>
      <c r="W187" s="162"/>
      <c r="X187" s="162"/>
      <c r="Y187" s="162"/>
      <c r="Z187" s="162"/>
      <c r="AA187" s="162"/>
      <c r="AB187" s="162"/>
      <c r="AC187" s="162"/>
      <c r="AD187" s="162"/>
    </row>
    <row r="188" spans="1:30">
      <c r="A188" s="162"/>
      <c r="B188" s="162"/>
      <c r="C188" s="162"/>
      <c r="D188" s="162"/>
      <c r="E188" s="162"/>
      <c r="F188" s="162"/>
      <c r="G188" s="162"/>
      <c r="H188" s="162"/>
      <c r="I188" s="162"/>
      <c r="J188" s="162"/>
      <c r="K188" s="162"/>
      <c r="L188" s="163"/>
      <c r="M188" s="163"/>
      <c r="N188" s="162"/>
      <c r="O188" s="162"/>
      <c r="P188" s="162"/>
      <c r="Q188" s="162"/>
      <c r="R188" s="162"/>
      <c r="S188" s="162"/>
      <c r="T188" s="162"/>
      <c r="U188" s="162"/>
      <c r="V188" s="162"/>
      <c r="W188" s="162"/>
      <c r="X188" s="162"/>
      <c r="Y188" s="162"/>
      <c r="Z188" s="162"/>
      <c r="AA188" s="162"/>
      <c r="AB188" s="162"/>
      <c r="AC188" s="162"/>
      <c r="AD188" s="162"/>
    </row>
    <row r="189" spans="1:30">
      <c r="A189" s="162"/>
      <c r="B189" s="162"/>
      <c r="C189" s="162"/>
      <c r="D189" s="162"/>
      <c r="E189" s="162"/>
      <c r="F189" s="162"/>
      <c r="G189" s="162"/>
      <c r="H189" s="162"/>
      <c r="I189" s="162"/>
      <c r="J189" s="162"/>
      <c r="K189" s="162"/>
      <c r="L189" s="163"/>
      <c r="M189" s="163"/>
      <c r="N189" s="162"/>
      <c r="O189" s="162"/>
      <c r="P189" s="162"/>
      <c r="Q189" s="162"/>
      <c r="R189" s="162"/>
      <c r="S189" s="162"/>
      <c r="T189" s="162"/>
      <c r="U189" s="162"/>
      <c r="V189" s="162"/>
      <c r="W189" s="162"/>
      <c r="X189" s="162"/>
      <c r="Y189" s="162"/>
      <c r="Z189" s="162"/>
      <c r="AA189" s="162"/>
      <c r="AB189" s="162"/>
      <c r="AC189" s="162"/>
      <c r="AD189" s="162"/>
    </row>
    <row r="190" spans="1:30">
      <c r="A190" s="162"/>
      <c r="B190" s="162"/>
      <c r="C190" s="162"/>
      <c r="D190" s="162"/>
      <c r="E190" s="162"/>
      <c r="F190" s="162"/>
      <c r="G190" s="162"/>
      <c r="H190" s="162"/>
      <c r="I190" s="162"/>
      <c r="J190" s="162"/>
      <c r="K190" s="162"/>
      <c r="L190" s="163"/>
      <c r="M190" s="163"/>
      <c r="N190" s="162"/>
      <c r="O190" s="162"/>
      <c r="P190" s="162"/>
      <c r="Q190" s="162"/>
      <c r="R190" s="162"/>
      <c r="S190" s="162"/>
      <c r="T190" s="162"/>
      <c r="U190" s="162"/>
      <c r="V190" s="162"/>
      <c r="W190" s="162"/>
      <c r="X190" s="162"/>
      <c r="Y190" s="162"/>
      <c r="Z190" s="162"/>
      <c r="AA190" s="162"/>
      <c r="AB190" s="162"/>
      <c r="AC190" s="162"/>
      <c r="AD190" s="162"/>
    </row>
    <row r="191" spans="1:30">
      <c r="A191" s="162"/>
      <c r="B191" s="162"/>
      <c r="C191" s="162"/>
      <c r="D191" s="162"/>
      <c r="E191" s="162"/>
      <c r="F191" s="162"/>
      <c r="G191" s="162"/>
      <c r="H191" s="162"/>
      <c r="I191" s="162"/>
      <c r="J191" s="162"/>
      <c r="K191" s="162"/>
      <c r="L191" s="163"/>
      <c r="M191" s="163"/>
      <c r="N191" s="162"/>
      <c r="O191" s="162"/>
      <c r="P191" s="162"/>
      <c r="Q191" s="162"/>
      <c r="R191" s="162"/>
      <c r="S191" s="162"/>
      <c r="T191" s="162"/>
      <c r="U191" s="162"/>
      <c r="V191" s="162"/>
      <c r="W191" s="162"/>
      <c r="X191" s="162"/>
      <c r="Y191" s="162"/>
      <c r="Z191" s="162"/>
      <c r="AA191" s="162"/>
      <c r="AB191" s="162"/>
      <c r="AC191" s="162"/>
      <c r="AD191" s="162"/>
    </row>
    <row r="192" spans="1:30">
      <c r="A192" s="162"/>
      <c r="B192" s="162"/>
      <c r="C192" s="162"/>
      <c r="D192" s="162"/>
      <c r="E192" s="162"/>
      <c r="F192" s="162"/>
      <c r="G192" s="162"/>
      <c r="H192" s="162"/>
      <c r="I192" s="162"/>
      <c r="J192" s="162"/>
      <c r="K192" s="162"/>
      <c r="L192" s="163"/>
      <c r="M192" s="163"/>
      <c r="N192" s="162"/>
      <c r="O192" s="162"/>
      <c r="P192" s="162"/>
      <c r="Q192" s="162"/>
      <c r="R192" s="162"/>
      <c r="S192" s="162"/>
      <c r="T192" s="162"/>
      <c r="U192" s="162"/>
      <c r="V192" s="162"/>
      <c r="W192" s="162"/>
      <c r="X192" s="162"/>
      <c r="Y192" s="162"/>
      <c r="Z192" s="162"/>
      <c r="AA192" s="162"/>
      <c r="AB192" s="162"/>
      <c r="AC192" s="162"/>
      <c r="AD192" s="162"/>
    </row>
    <row r="193" spans="1:30">
      <c r="A193" s="162"/>
      <c r="B193" s="162"/>
      <c r="C193" s="162"/>
      <c r="D193" s="162"/>
      <c r="E193" s="162"/>
      <c r="F193" s="162"/>
      <c r="G193" s="162"/>
      <c r="H193" s="162"/>
      <c r="I193" s="162"/>
      <c r="J193" s="162"/>
      <c r="K193" s="162"/>
      <c r="L193" s="163"/>
      <c r="M193" s="163"/>
      <c r="N193" s="162"/>
      <c r="O193" s="162"/>
      <c r="P193" s="162"/>
      <c r="Q193" s="162"/>
      <c r="R193" s="162"/>
      <c r="S193" s="162"/>
      <c r="T193" s="162"/>
      <c r="U193" s="162"/>
      <c r="V193" s="162"/>
      <c r="W193" s="162"/>
      <c r="X193" s="162"/>
      <c r="Y193" s="162"/>
      <c r="Z193" s="162"/>
      <c r="AA193" s="162"/>
      <c r="AB193" s="162"/>
      <c r="AC193" s="162"/>
      <c r="AD193" s="162"/>
    </row>
    <row r="194" spans="1:30">
      <c r="A194" s="162"/>
      <c r="B194" s="162"/>
      <c r="C194" s="162"/>
      <c r="D194" s="162"/>
      <c r="E194" s="162"/>
      <c r="F194" s="162"/>
      <c r="G194" s="162"/>
      <c r="H194" s="162"/>
      <c r="I194" s="162"/>
      <c r="J194" s="162"/>
      <c r="K194" s="162"/>
      <c r="L194" s="163"/>
      <c r="M194" s="163"/>
      <c r="N194" s="162"/>
      <c r="O194" s="162"/>
      <c r="P194" s="162"/>
      <c r="Q194" s="162"/>
      <c r="R194" s="162"/>
      <c r="S194" s="162"/>
      <c r="T194" s="162"/>
      <c r="U194" s="162"/>
      <c r="V194" s="162"/>
      <c r="W194" s="162"/>
      <c r="X194" s="162"/>
      <c r="Y194" s="162"/>
      <c r="Z194" s="162"/>
      <c r="AA194" s="162"/>
      <c r="AB194" s="162"/>
      <c r="AC194" s="162"/>
      <c r="AD194" s="162"/>
    </row>
    <row r="195" spans="1:30">
      <c r="A195" s="162"/>
      <c r="B195" s="162"/>
      <c r="C195" s="162"/>
      <c r="D195" s="162"/>
      <c r="E195" s="162"/>
      <c r="F195" s="162"/>
      <c r="G195" s="162"/>
      <c r="H195" s="162"/>
      <c r="I195" s="162"/>
      <c r="J195" s="162"/>
      <c r="K195" s="162"/>
      <c r="L195" s="163"/>
      <c r="M195" s="163"/>
      <c r="N195" s="162"/>
      <c r="O195" s="162"/>
      <c r="P195" s="162"/>
      <c r="Q195" s="162"/>
      <c r="R195" s="162"/>
      <c r="S195" s="162"/>
      <c r="T195" s="162"/>
      <c r="U195" s="162"/>
      <c r="V195" s="162"/>
      <c r="W195" s="162"/>
      <c r="X195" s="162"/>
      <c r="Y195" s="162"/>
      <c r="Z195" s="162"/>
      <c r="AA195" s="162"/>
      <c r="AB195" s="162"/>
      <c r="AC195" s="162"/>
      <c r="AD195" s="162"/>
    </row>
    <row r="196" spans="1:30">
      <c r="A196" s="162"/>
      <c r="B196" s="162"/>
      <c r="C196" s="162"/>
      <c r="D196" s="162"/>
      <c r="E196" s="162"/>
      <c r="F196" s="162"/>
      <c r="G196" s="162"/>
      <c r="H196" s="162"/>
      <c r="I196" s="162"/>
      <c r="J196" s="162"/>
      <c r="K196" s="162"/>
      <c r="L196" s="163"/>
      <c r="M196" s="163"/>
      <c r="N196" s="162"/>
      <c r="O196" s="162"/>
      <c r="P196" s="162"/>
      <c r="Q196" s="162"/>
      <c r="R196" s="162"/>
      <c r="S196" s="162"/>
      <c r="T196" s="162"/>
      <c r="U196" s="162"/>
      <c r="V196" s="162"/>
      <c r="W196" s="162"/>
      <c r="X196" s="162"/>
      <c r="Y196" s="162"/>
      <c r="Z196" s="162"/>
      <c r="AA196" s="162"/>
      <c r="AB196" s="162"/>
      <c r="AC196" s="162"/>
      <c r="AD196" s="162"/>
    </row>
    <row r="197" spans="1:30">
      <c r="A197" s="162"/>
      <c r="B197" s="162"/>
      <c r="C197" s="162"/>
      <c r="D197" s="162"/>
      <c r="E197" s="162"/>
      <c r="F197" s="162"/>
      <c r="G197" s="162"/>
      <c r="H197" s="162"/>
      <c r="I197" s="162"/>
      <c r="J197" s="162"/>
      <c r="K197" s="162"/>
      <c r="L197" s="163"/>
      <c r="M197" s="163"/>
      <c r="N197" s="162"/>
      <c r="O197" s="162"/>
      <c r="P197" s="162"/>
      <c r="Q197" s="162"/>
      <c r="R197" s="162"/>
      <c r="S197" s="162"/>
      <c r="T197" s="162"/>
      <c r="U197" s="162"/>
      <c r="V197" s="162"/>
      <c r="W197" s="162"/>
      <c r="X197" s="162"/>
      <c r="Y197" s="162"/>
      <c r="Z197" s="162"/>
      <c r="AA197" s="162"/>
      <c r="AB197" s="162"/>
      <c r="AC197" s="162"/>
      <c r="AD197" s="162"/>
    </row>
    <row r="198" spans="1:30">
      <c r="A198" s="162"/>
      <c r="B198" s="162"/>
      <c r="C198" s="162"/>
      <c r="D198" s="162"/>
      <c r="E198" s="162"/>
      <c r="F198" s="162"/>
      <c r="G198" s="162"/>
      <c r="H198" s="162"/>
      <c r="I198" s="162"/>
      <c r="J198" s="162"/>
      <c r="K198" s="162"/>
      <c r="L198" s="163"/>
      <c r="M198" s="163"/>
      <c r="N198" s="162"/>
      <c r="O198" s="162"/>
      <c r="P198" s="162"/>
      <c r="Q198" s="162"/>
      <c r="R198" s="162"/>
      <c r="S198" s="162"/>
      <c r="T198" s="162"/>
      <c r="U198" s="162"/>
      <c r="V198" s="162"/>
      <c r="W198" s="162"/>
      <c r="X198" s="162"/>
      <c r="Y198" s="162"/>
      <c r="Z198" s="162"/>
      <c r="AA198" s="162"/>
      <c r="AB198" s="162"/>
      <c r="AC198" s="162"/>
      <c r="AD198" s="162"/>
    </row>
    <row r="199" spans="1:30">
      <c r="A199" s="162"/>
      <c r="B199" s="162"/>
      <c r="C199" s="162"/>
      <c r="D199" s="162"/>
      <c r="E199" s="162"/>
      <c r="F199" s="162"/>
      <c r="G199" s="162"/>
      <c r="H199" s="162"/>
      <c r="I199" s="162"/>
      <c r="J199" s="162"/>
      <c r="K199" s="162"/>
      <c r="L199" s="163"/>
      <c r="M199" s="163"/>
      <c r="N199" s="162"/>
      <c r="O199" s="162"/>
      <c r="P199" s="162"/>
      <c r="Q199" s="162"/>
      <c r="R199" s="162"/>
      <c r="S199" s="162"/>
      <c r="T199" s="162"/>
      <c r="U199" s="162"/>
      <c r="V199" s="162"/>
      <c r="W199" s="162"/>
      <c r="X199" s="162"/>
      <c r="Y199" s="162"/>
      <c r="Z199" s="162"/>
      <c r="AA199" s="162"/>
      <c r="AB199" s="162"/>
      <c r="AC199" s="162"/>
      <c r="AD199" s="162"/>
    </row>
  </sheetData>
  <mergeCells count="10">
    <mergeCell ref="A120:B120"/>
    <mergeCell ref="A111:B111"/>
    <mergeCell ref="A112:B112"/>
    <mergeCell ref="A113:B113"/>
    <mergeCell ref="A114:B114"/>
    <mergeCell ref="A119:B119"/>
    <mergeCell ref="A115:B115"/>
    <mergeCell ref="A116:B116"/>
    <mergeCell ref="A117:B117"/>
    <mergeCell ref="A118:B118"/>
  </mergeCells>
  <dataValidations count="2">
    <dataValidation type="list" allowBlank="1" showInputMessage="1" showErrorMessage="1" sqref="C14:C52" xr:uid="{00000000-0002-0000-0C00-000000000000}">
      <formula1>BizTravel_Vehicle</formula1>
    </dataValidation>
    <dataValidation type="list" allowBlank="1" showInputMessage="1" showErrorMessage="1" sqref="C57:C105" xr:uid="{00000000-0002-0000-0C00-000001000000}">
      <formula1>BizTravel_PassMiles</formula1>
    </dataValidation>
  </dataValidations>
  <pageMargins left="0.25" right="0.25" top="0.25" bottom="0.5" header="0.5" footer="0.25"/>
  <pageSetup scale="83" orientation="portrait" r:id="rId1"/>
  <headerFooter alignWithMargins="0">
    <oddFooter>&amp;L&amp;"Arial,Italic"&amp;9EPA Climate Leaders Simplified GHG Emissions Calculator (Optional 1.0)&amp;R&amp;"Arial,Italic"&amp;9&amp;P of &amp;N</oddFooter>
  </headerFooter>
  <rowBreaks count="2" manualBreakCount="2">
    <brk id="53" max="16383" man="1"/>
    <brk id="123" max="16383" man="1"/>
  </rowBreaks>
  <colBreaks count="1" manualBreakCount="1">
    <brk id="8"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D200"/>
  <sheetViews>
    <sheetView zoomScale="80" zoomScaleNormal="80" workbookViewId="0"/>
  </sheetViews>
  <sheetFormatPr defaultColWidth="8.85546875" defaultRowHeight="12.75"/>
  <cols>
    <col min="1" max="1" width="11.85546875" customWidth="1"/>
    <col min="2" max="2" width="30.140625" bestFit="1" customWidth="1"/>
    <col min="3" max="3" width="35.42578125" customWidth="1"/>
    <col min="4" max="7" width="10.85546875" customWidth="1"/>
    <col min="8" max="12" width="9.140625" customWidth="1"/>
    <col min="13" max="14" width="9.140625" style="124" customWidth="1"/>
    <col min="17" max="18" width="13.85546875" customWidth="1"/>
  </cols>
  <sheetData>
    <row r="1" spans="1:30"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row>
    <row r="2" spans="1:30"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row>
    <row r="3" spans="1:30" ht="15">
      <c r="A3" s="182" t="s">
        <v>1275</v>
      </c>
      <c r="D3" s="162"/>
      <c r="E3" s="162"/>
      <c r="F3" s="162"/>
      <c r="G3" s="162"/>
      <c r="H3" s="162"/>
      <c r="I3" s="162"/>
      <c r="J3" s="162"/>
      <c r="K3" s="162"/>
      <c r="L3" s="162"/>
      <c r="M3" s="163"/>
      <c r="N3" s="163"/>
      <c r="O3" s="162"/>
      <c r="P3" s="162"/>
      <c r="Q3" s="162"/>
      <c r="R3" s="162"/>
      <c r="S3" s="162"/>
      <c r="T3" s="162"/>
      <c r="U3" s="162"/>
      <c r="V3" s="162"/>
      <c r="W3" s="162"/>
      <c r="X3" s="162"/>
      <c r="Y3" s="162"/>
      <c r="Z3" s="162"/>
      <c r="AA3" s="162"/>
      <c r="AB3" s="162"/>
      <c r="AC3" s="162"/>
      <c r="AD3" s="162"/>
    </row>
    <row r="4" spans="1:30">
      <c r="A4" s="162"/>
      <c r="B4" s="162"/>
      <c r="C4" s="162"/>
      <c r="D4" s="162"/>
      <c r="E4" s="162"/>
      <c r="F4" s="162"/>
      <c r="G4" s="162"/>
      <c r="H4" s="162"/>
      <c r="I4" s="162"/>
      <c r="J4" s="162"/>
      <c r="K4" s="162"/>
      <c r="L4" s="162"/>
      <c r="M4" s="163"/>
      <c r="N4" s="163"/>
      <c r="O4" s="162"/>
      <c r="P4" s="162"/>
      <c r="Q4" s="162"/>
      <c r="R4" s="162"/>
      <c r="S4" s="162"/>
      <c r="T4" s="162"/>
      <c r="U4" s="162"/>
      <c r="V4" s="162"/>
      <c r="W4" s="162"/>
      <c r="X4" s="162"/>
      <c r="Y4" s="162"/>
      <c r="Z4" s="162"/>
      <c r="AA4" s="162"/>
      <c r="AB4" s="162"/>
      <c r="AC4" s="162"/>
      <c r="AD4" s="162"/>
    </row>
    <row r="5" spans="1:30">
      <c r="A5" s="161" t="s">
        <v>293</v>
      </c>
      <c r="B5" s="162"/>
      <c r="C5" s="162"/>
      <c r="D5" s="162"/>
      <c r="E5" s="162"/>
      <c r="F5" s="162"/>
      <c r="G5" s="162"/>
      <c r="H5" s="162"/>
      <c r="I5" s="162"/>
      <c r="J5" s="162"/>
      <c r="K5" s="162"/>
      <c r="L5" s="162"/>
      <c r="M5" s="163"/>
      <c r="N5" s="163"/>
      <c r="O5" s="162"/>
      <c r="P5" s="162"/>
      <c r="Q5" s="162"/>
      <c r="R5" s="162"/>
      <c r="S5" s="162"/>
      <c r="T5" s="162"/>
      <c r="U5" s="162"/>
      <c r="V5" s="162"/>
      <c r="W5" s="162"/>
      <c r="X5" s="162"/>
      <c r="Y5" s="162"/>
      <c r="Z5" s="162"/>
      <c r="AA5" s="162"/>
      <c r="AB5" s="162"/>
      <c r="AC5" s="162"/>
      <c r="AD5" s="162"/>
    </row>
    <row r="6" spans="1:30">
      <c r="A6" s="219" t="s">
        <v>686</v>
      </c>
      <c r="B6" s="162"/>
      <c r="C6" s="162"/>
      <c r="D6" s="162"/>
      <c r="E6" s="162"/>
      <c r="F6" s="162"/>
      <c r="G6" s="162"/>
      <c r="H6" s="162"/>
      <c r="I6" s="162"/>
      <c r="J6" s="162"/>
      <c r="K6" s="162"/>
      <c r="L6" s="162"/>
      <c r="M6" s="163"/>
      <c r="N6" s="163"/>
      <c r="O6" s="162"/>
      <c r="P6" s="162"/>
      <c r="Q6" s="162"/>
      <c r="R6" s="162"/>
      <c r="S6" s="162"/>
      <c r="T6" s="162"/>
      <c r="U6" s="162"/>
      <c r="V6" s="162"/>
      <c r="W6" s="162"/>
      <c r="X6" s="162"/>
      <c r="Y6" s="162"/>
      <c r="Z6" s="162"/>
      <c r="AA6" s="162"/>
      <c r="AB6" s="162"/>
      <c r="AC6" s="162"/>
      <c r="AD6" s="162"/>
    </row>
    <row r="7" spans="1:30">
      <c r="A7" s="831" t="s">
        <v>1264</v>
      </c>
      <c r="B7" s="162"/>
      <c r="C7" s="162"/>
      <c r="D7" s="162"/>
      <c r="E7" s="162"/>
      <c r="F7" s="162"/>
      <c r="G7" s="162"/>
      <c r="H7" s="162"/>
      <c r="I7" s="162"/>
      <c r="J7" s="162"/>
      <c r="K7" s="162"/>
      <c r="L7" s="162"/>
      <c r="M7" s="163"/>
      <c r="N7" s="163"/>
      <c r="O7" s="162"/>
      <c r="P7" s="162"/>
      <c r="Q7" s="162"/>
      <c r="R7" s="162"/>
      <c r="S7" s="162"/>
      <c r="T7" s="162"/>
      <c r="U7" s="162"/>
      <c r="V7" s="162"/>
      <c r="W7" s="162"/>
      <c r="X7" s="162"/>
      <c r="Y7" s="162"/>
      <c r="Z7" s="162"/>
      <c r="AA7" s="162"/>
      <c r="AB7" s="162"/>
      <c r="AC7" s="162"/>
      <c r="AD7" s="162"/>
    </row>
    <row r="8" spans="1:30" ht="26.25" customHeight="1">
      <c r="A8" s="1280" t="s">
        <v>997</v>
      </c>
      <c r="B8" s="1280"/>
      <c r="C8" s="1280"/>
      <c r="D8" s="1280"/>
      <c r="E8" s="1280"/>
      <c r="F8" s="1280"/>
      <c r="G8" s="1280"/>
      <c r="H8" s="162"/>
      <c r="I8" s="162"/>
      <c r="J8" s="162"/>
      <c r="K8" s="162"/>
      <c r="L8" s="162"/>
      <c r="M8" s="163"/>
      <c r="N8" s="163"/>
      <c r="O8" s="162"/>
      <c r="P8" s="162"/>
      <c r="Q8" s="162"/>
      <c r="R8" s="162"/>
      <c r="S8" s="162"/>
      <c r="T8" s="162"/>
      <c r="U8" s="162"/>
      <c r="V8" s="162"/>
      <c r="W8" s="162"/>
      <c r="X8" s="162"/>
      <c r="Y8" s="162"/>
      <c r="Z8" s="162"/>
      <c r="AA8" s="162"/>
      <c r="AB8" s="162"/>
      <c r="AC8" s="162"/>
      <c r="AD8" s="162"/>
    </row>
    <row r="9" spans="1:30" ht="39.75" customHeight="1">
      <c r="A9" s="1281" t="s">
        <v>1265</v>
      </c>
      <c r="B9" s="1280"/>
      <c r="C9" s="1280"/>
      <c r="D9" s="1280"/>
      <c r="E9" s="1280"/>
      <c r="F9" s="1280"/>
      <c r="G9" s="1280"/>
      <c r="H9" s="162"/>
      <c r="I9" s="162"/>
      <c r="J9" s="162"/>
      <c r="K9" s="162"/>
      <c r="L9" s="162"/>
      <c r="M9" s="163"/>
      <c r="N9" s="163"/>
      <c r="O9" s="162"/>
      <c r="P9" s="162"/>
      <c r="Q9" s="162"/>
      <c r="R9" s="162"/>
      <c r="S9" s="162"/>
      <c r="T9" s="162"/>
      <c r="U9" s="162"/>
      <c r="V9" s="162"/>
      <c r="W9" s="162"/>
      <c r="X9" s="162"/>
      <c r="Y9" s="162"/>
      <c r="Z9" s="162"/>
      <c r="AA9" s="162"/>
      <c r="AB9" s="162"/>
      <c r="AC9" s="162"/>
      <c r="AD9" s="162"/>
    </row>
    <row r="10" spans="1:30">
      <c r="A10" s="228" t="s">
        <v>1287</v>
      </c>
      <c r="B10" s="218"/>
      <c r="C10" s="218"/>
      <c r="D10" s="218"/>
      <c r="E10" s="218"/>
      <c r="F10" s="218"/>
      <c r="G10" s="218"/>
      <c r="H10" s="162"/>
      <c r="I10" s="162"/>
      <c r="J10" s="162"/>
      <c r="K10" s="162"/>
      <c r="L10" s="162"/>
      <c r="M10" s="163"/>
      <c r="N10" s="163"/>
      <c r="O10" s="162"/>
      <c r="P10" s="162"/>
      <c r="Q10" s="162"/>
      <c r="R10" s="162"/>
      <c r="S10" s="162"/>
      <c r="T10" s="162"/>
      <c r="U10" s="162"/>
      <c r="V10" s="162"/>
      <c r="W10" s="162"/>
      <c r="X10" s="162"/>
      <c r="Y10" s="162"/>
      <c r="Z10" s="162"/>
      <c r="AA10" s="162"/>
      <c r="AB10" s="162"/>
      <c r="AC10" s="162"/>
      <c r="AD10" s="162"/>
    </row>
    <row r="11" spans="1:30">
      <c r="A11" s="201" t="s">
        <v>1289</v>
      </c>
      <c r="B11" s="162"/>
      <c r="C11" s="162"/>
      <c r="D11" s="162"/>
      <c r="E11" s="162"/>
      <c r="F11" s="162"/>
      <c r="G11" s="162"/>
      <c r="H11" s="162"/>
      <c r="I11" s="162"/>
      <c r="J11" s="162"/>
      <c r="K11" s="162"/>
      <c r="L11" s="162"/>
      <c r="M11" s="163"/>
      <c r="N11" s="163"/>
      <c r="O11" s="162"/>
      <c r="P11" s="162"/>
      <c r="Q11" s="162"/>
      <c r="R11" s="162"/>
      <c r="S11" s="162"/>
      <c r="T11" s="162"/>
      <c r="U11" s="162"/>
      <c r="V11" s="162"/>
      <c r="W11" s="162"/>
      <c r="X11" s="162"/>
      <c r="Y11" s="162"/>
      <c r="Z11" s="162"/>
      <c r="AA11" s="162"/>
      <c r="AB11" s="162"/>
      <c r="AC11" s="162"/>
      <c r="AD11" s="162"/>
    </row>
    <row r="12" spans="1:30" ht="15" thickBot="1">
      <c r="A12" s="161" t="s">
        <v>1276</v>
      </c>
      <c r="B12" s="162"/>
      <c r="C12" s="162"/>
      <c r="D12" s="162"/>
      <c r="E12" s="162"/>
      <c r="F12" s="162"/>
      <c r="G12" s="162"/>
      <c r="H12" s="162"/>
      <c r="I12" s="162"/>
      <c r="J12" s="162"/>
      <c r="K12" s="162"/>
      <c r="L12" s="162"/>
      <c r="M12" s="163"/>
      <c r="N12" s="163"/>
      <c r="O12" s="162"/>
      <c r="P12" s="162"/>
      <c r="Q12" s="162"/>
      <c r="R12" s="162"/>
      <c r="S12" s="162"/>
      <c r="T12" s="162"/>
      <c r="U12" s="162"/>
      <c r="V12" s="162"/>
      <c r="W12" s="162"/>
      <c r="X12" s="162"/>
      <c r="Y12" s="162"/>
      <c r="Z12" s="162"/>
      <c r="AA12" s="162"/>
      <c r="AB12" s="162"/>
      <c r="AC12" s="162"/>
      <c r="AD12" s="162"/>
    </row>
    <row r="13" spans="1:30" ht="40.5" thickBot="1">
      <c r="A13" s="420" t="s">
        <v>284</v>
      </c>
      <c r="B13" s="421" t="s">
        <v>0</v>
      </c>
      <c r="C13" s="421" t="s">
        <v>135</v>
      </c>
      <c r="D13" s="193" t="s">
        <v>303</v>
      </c>
      <c r="E13" s="193" t="s">
        <v>285</v>
      </c>
      <c r="F13" s="193" t="s">
        <v>286</v>
      </c>
      <c r="G13" s="194" t="s">
        <v>287</v>
      </c>
      <c r="H13" s="162"/>
      <c r="I13" s="342"/>
      <c r="J13" s="162"/>
      <c r="K13" s="162"/>
      <c r="L13" s="162"/>
      <c r="M13" s="344"/>
      <c r="N13" s="344"/>
      <c r="O13" s="162"/>
      <c r="P13" s="162"/>
      <c r="Q13" s="162"/>
      <c r="R13" s="162"/>
      <c r="S13" s="162"/>
      <c r="T13" s="162"/>
      <c r="U13" s="162"/>
      <c r="V13" s="162"/>
      <c r="W13" s="162"/>
      <c r="X13" s="162"/>
      <c r="Y13" s="162"/>
      <c r="Z13" s="162"/>
      <c r="AA13" s="162"/>
      <c r="AB13" s="162"/>
      <c r="AC13" s="162"/>
      <c r="AD13" s="162"/>
    </row>
    <row r="14" spans="1:30">
      <c r="A14" s="469" t="s">
        <v>16</v>
      </c>
      <c r="B14" s="470" t="s">
        <v>267</v>
      </c>
      <c r="C14" s="470" t="s">
        <v>397</v>
      </c>
      <c r="D14" s="471">
        <v>100</v>
      </c>
      <c r="E14" s="471">
        <f>IF($C14="","",VLOOKUP($C14,Prod_TransVM_Fctrs,2,FALSE)*$D14)</f>
        <v>138.69999999999999</v>
      </c>
      <c r="F14" s="472">
        <f t="shared" ref="F14:F52" si="0">IF($C14="","",VLOOKUP($C14,Prod_TransVM_Fctrs,3,FALSE)*$D14)</f>
        <v>1.3</v>
      </c>
      <c r="G14" s="473">
        <f t="shared" ref="G14:G52" si="1">IF($C14="","",VLOOKUP($C14,Prod_TransVM_Fctrs,4,FALSE)*$D14)</f>
        <v>3.8</v>
      </c>
      <c r="H14" s="162"/>
      <c r="I14" s="202"/>
      <c r="J14" s="162"/>
      <c r="K14" s="162"/>
      <c r="L14" s="162"/>
      <c r="M14" s="344"/>
      <c r="N14" s="344"/>
      <c r="O14" s="162"/>
      <c r="P14" s="162"/>
      <c r="Q14" s="162"/>
      <c r="R14" s="162"/>
      <c r="S14" s="162"/>
      <c r="T14" s="162"/>
      <c r="U14" s="162"/>
      <c r="V14" s="162"/>
      <c r="W14" s="162"/>
      <c r="X14" s="162"/>
      <c r="Y14" s="162"/>
      <c r="Z14" s="162"/>
      <c r="AA14" s="162"/>
      <c r="AB14" s="162"/>
      <c r="AC14" s="162"/>
      <c r="AD14" s="162"/>
    </row>
    <row r="15" spans="1:30">
      <c r="A15" s="177"/>
      <c r="B15" s="178"/>
      <c r="C15" s="178"/>
      <c r="D15" s="179"/>
      <c r="E15" s="403" t="str">
        <f t="shared" ref="E15:E52" si="2">IF($C15="","",VLOOKUP($C15,Prod_TransVM_Fctrs,2,FALSE)*$D15)</f>
        <v/>
      </c>
      <c r="F15" s="380" t="str">
        <f t="shared" si="0"/>
        <v/>
      </c>
      <c r="G15" s="402" t="str">
        <f t="shared" si="1"/>
        <v/>
      </c>
      <c r="H15" s="162"/>
      <c r="I15" s="202"/>
      <c r="J15" s="162"/>
      <c r="K15" s="162"/>
      <c r="L15" s="162"/>
      <c r="M15" s="163"/>
      <c r="N15" s="345"/>
      <c r="O15" s="162"/>
      <c r="P15" s="162"/>
      <c r="Q15" s="162"/>
      <c r="R15" s="162"/>
      <c r="S15" s="162"/>
      <c r="T15" s="162"/>
      <c r="U15" s="162"/>
      <c r="V15" s="162"/>
      <c r="W15" s="162"/>
      <c r="X15" s="162"/>
      <c r="Y15" s="162"/>
      <c r="Z15" s="162"/>
      <c r="AA15" s="162"/>
      <c r="AB15" s="162"/>
      <c r="AC15" s="162"/>
      <c r="AD15" s="162"/>
    </row>
    <row r="16" spans="1:30">
      <c r="A16" s="65"/>
      <c r="B16" s="29"/>
      <c r="C16" s="386"/>
      <c r="D16" s="73"/>
      <c r="E16" s="192" t="str">
        <f t="shared" si="2"/>
        <v/>
      </c>
      <c r="F16" s="387" t="str">
        <f t="shared" si="0"/>
        <v/>
      </c>
      <c r="G16" s="388" t="str">
        <f t="shared" si="1"/>
        <v/>
      </c>
      <c r="H16" s="162"/>
      <c r="I16" s="202"/>
      <c r="J16" s="162"/>
      <c r="K16" s="162"/>
      <c r="L16" s="162"/>
      <c r="M16" s="163"/>
      <c r="N16" s="345"/>
      <c r="O16" s="162"/>
      <c r="P16" s="162"/>
      <c r="Q16" s="162"/>
      <c r="R16" s="162"/>
      <c r="S16" s="162"/>
      <c r="T16" s="162"/>
      <c r="U16" s="162"/>
      <c r="V16" s="162"/>
      <c r="W16" s="162"/>
      <c r="X16" s="162"/>
      <c r="Y16" s="162"/>
      <c r="Z16" s="162"/>
      <c r="AA16" s="162"/>
      <c r="AB16" s="162"/>
      <c r="AC16" s="162"/>
      <c r="AD16" s="162"/>
    </row>
    <row r="17" spans="1:30">
      <c r="A17" s="65"/>
      <c r="B17" s="29"/>
      <c r="C17" s="29"/>
      <c r="D17" s="73"/>
      <c r="E17" s="192" t="str">
        <f t="shared" si="2"/>
        <v/>
      </c>
      <c r="F17" s="387" t="str">
        <f t="shared" si="0"/>
        <v/>
      </c>
      <c r="G17" s="376" t="str">
        <f t="shared" si="1"/>
        <v/>
      </c>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row>
    <row r="18" spans="1:30" hidden="1">
      <c r="A18" s="65"/>
      <c r="B18" s="29"/>
      <c r="C18" s="29"/>
      <c r="D18" s="73"/>
      <c r="E18" s="192" t="str">
        <f t="shared" si="2"/>
        <v/>
      </c>
      <c r="F18" s="387" t="str">
        <f t="shared" si="0"/>
        <v/>
      </c>
      <c r="G18" s="376" t="str">
        <f t="shared" si="1"/>
        <v/>
      </c>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row>
    <row r="19" spans="1:30">
      <c r="A19" s="65"/>
      <c r="B19" s="29"/>
      <c r="C19" s="29"/>
      <c r="D19" s="73"/>
      <c r="E19" s="192" t="str">
        <f t="shared" si="2"/>
        <v/>
      </c>
      <c r="F19" s="387" t="str">
        <f t="shared" si="0"/>
        <v/>
      </c>
      <c r="G19" s="376" t="str">
        <f t="shared" si="1"/>
        <v/>
      </c>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row>
    <row r="20" spans="1:30">
      <c r="A20" s="65"/>
      <c r="B20" s="29"/>
      <c r="C20" s="29"/>
      <c r="D20" s="73"/>
      <c r="E20" s="192" t="str">
        <f t="shared" si="2"/>
        <v/>
      </c>
      <c r="F20" s="387" t="str">
        <f t="shared" si="0"/>
        <v/>
      </c>
      <c r="G20" s="376" t="str">
        <f t="shared" si="1"/>
        <v/>
      </c>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row>
    <row r="21" spans="1:30">
      <c r="A21" s="65"/>
      <c r="B21" s="29"/>
      <c r="C21" s="29"/>
      <c r="D21" s="73"/>
      <c r="E21" s="192" t="str">
        <f t="shared" si="2"/>
        <v/>
      </c>
      <c r="F21" s="387" t="str">
        <f t="shared" si="0"/>
        <v/>
      </c>
      <c r="G21" s="376" t="str">
        <f t="shared" si="1"/>
        <v/>
      </c>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row>
    <row r="22" spans="1:30">
      <c r="A22" s="65"/>
      <c r="B22" s="29"/>
      <c r="C22" s="29"/>
      <c r="D22" s="73"/>
      <c r="E22" s="192" t="str">
        <f t="shared" si="2"/>
        <v/>
      </c>
      <c r="F22" s="387" t="str">
        <f t="shared" si="0"/>
        <v/>
      </c>
      <c r="G22" s="376" t="str">
        <f t="shared" si="1"/>
        <v/>
      </c>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row>
    <row r="23" spans="1:30">
      <c r="A23" s="65"/>
      <c r="B23" s="29"/>
      <c r="C23" s="29"/>
      <c r="D23" s="73"/>
      <c r="E23" s="192" t="str">
        <f t="shared" si="2"/>
        <v/>
      </c>
      <c r="F23" s="387" t="str">
        <f t="shared" si="0"/>
        <v/>
      </c>
      <c r="G23" s="376" t="str">
        <f t="shared" si="1"/>
        <v/>
      </c>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row>
    <row r="24" spans="1:30">
      <c r="A24" s="65"/>
      <c r="B24" s="29"/>
      <c r="C24" s="29"/>
      <c r="D24" s="73"/>
      <c r="E24" s="192" t="str">
        <f t="shared" si="2"/>
        <v/>
      </c>
      <c r="F24" s="387" t="str">
        <f t="shared" si="0"/>
        <v/>
      </c>
      <c r="G24" s="376" t="str">
        <f t="shared" si="1"/>
        <v/>
      </c>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row>
    <row r="25" spans="1:30">
      <c r="A25" s="65"/>
      <c r="B25" s="29"/>
      <c r="C25" s="29"/>
      <c r="D25" s="73"/>
      <c r="E25" s="192" t="str">
        <f t="shared" si="2"/>
        <v/>
      </c>
      <c r="F25" s="387" t="str">
        <f t="shared" si="0"/>
        <v/>
      </c>
      <c r="G25" s="376" t="str">
        <f t="shared" si="1"/>
        <v/>
      </c>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row>
    <row r="26" spans="1:30">
      <c r="A26" s="65"/>
      <c r="B26" s="29"/>
      <c r="C26" s="29"/>
      <c r="D26" s="73"/>
      <c r="E26" s="192" t="str">
        <f t="shared" si="2"/>
        <v/>
      </c>
      <c r="F26" s="387" t="str">
        <f t="shared" si="0"/>
        <v/>
      </c>
      <c r="G26" s="376" t="str">
        <f t="shared" si="1"/>
        <v/>
      </c>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row>
    <row r="27" spans="1:30">
      <c r="A27" s="65"/>
      <c r="B27" s="29"/>
      <c r="C27" s="29"/>
      <c r="D27" s="73"/>
      <c r="E27" s="192" t="str">
        <f t="shared" si="2"/>
        <v/>
      </c>
      <c r="F27" s="387" t="str">
        <f t="shared" si="0"/>
        <v/>
      </c>
      <c r="G27" s="376" t="str">
        <f t="shared" si="1"/>
        <v/>
      </c>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row>
    <row r="28" spans="1:30">
      <c r="A28" s="65"/>
      <c r="B28" s="29"/>
      <c r="C28" s="29"/>
      <c r="D28" s="73"/>
      <c r="E28" s="192" t="str">
        <f t="shared" si="2"/>
        <v/>
      </c>
      <c r="F28" s="387" t="str">
        <f t="shared" si="0"/>
        <v/>
      </c>
      <c r="G28" s="376" t="str">
        <f t="shared" si="1"/>
        <v/>
      </c>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row>
    <row r="29" spans="1:30">
      <c r="A29" s="65"/>
      <c r="B29" s="29"/>
      <c r="C29" s="29"/>
      <c r="D29" s="73"/>
      <c r="E29" s="192" t="str">
        <f t="shared" si="2"/>
        <v/>
      </c>
      <c r="F29" s="387" t="str">
        <f t="shared" si="0"/>
        <v/>
      </c>
      <c r="G29" s="376" t="str">
        <f t="shared" si="1"/>
        <v/>
      </c>
      <c r="H29" s="162"/>
      <c r="I29" s="162"/>
      <c r="J29" s="162"/>
      <c r="K29" s="162"/>
      <c r="L29" s="162"/>
      <c r="M29" s="345"/>
      <c r="N29" s="345"/>
      <c r="O29" s="162"/>
      <c r="P29" s="162"/>
      <c r="Q29" s="162"/>
      <c r="R29" s="162"/>
      <c r="S29" s="162"/>
      <c r="T29" s="162"/>
      <c r="U29" s="162"/>
      <c r="V29" s="162"/>
      <c r="W29" s="162"/>
      <c r="X29" s="162"/>
      <c r="Y29" s="162"/>
      <c r="Z29" s="162"/>
      <c r="AA29" s="162"/>
      <c r="AB29" s="162"/>
      <c r="AC29" s="162"/>
      <c r="AD29" s="162"/>
    </row>
    <row r="30" spans="1:30">
      <c r="A30" s="65"/>
      <c r="B30" s="29"/>
      <c r="C30" s="29"/>
      <c r="D30" s="73"/>
      <c r="E30" s="192" t="str">
        <f t="shared" si="2"/>
        <v/>
      </c>
      <c r="F30" s="387" t="str">
        <f t="shared" si="0"/>
        <v/>
      </c>
      <c r="G30" s="376" t="str">
        <f t="shared" si="1"/>
        <v/>
      </c>
      <c r="H30" s="162"/>
      <c r="I30" s="162"/>
      <c r="J30" s="162"/>
      <c r="K30" s="162"/>
      <c r="L30" s="162"/>
      <c r="M30" s="345"/>
      <c r="N30" s="345"/>
      <c r="O30" s="162"/>
      <c r="P30" s="162"/>
      <c r="Q30" s="162"/>
      <c r="R30" s="162"/>
      <c r="S30" s="162"/>
      <c r="T30" s="162"/>
      <c r="U30" s="162"/>
      <c r="V30" s="162"/>
      <c r="W30" s="162"/>
      <c r="X30" s="162"/>
      <c r="Y30" s="162"/>
      <c r="Z30" s="162"/>
      <c r="AA30" s="162"/>
      <c r="AB30" s="162"/>
      <c r="AC30" s="162"/>
      <c r="AD30" s="162"/>
    </row>
    <row r="31" spans="1:30">
      <c r="A31" s="65"/>
      <c r="B31" s="29"/>
      <c r="C31" s="29"/>
      <c r="D31" s="73"/>
      <c r="E31" s="192" t="str">
        <f t="shared" si="2"/>
        <v/>
      </c>
      <c r="F31" s="387" t="str">
        <f t="shared" si="0"/>
        <v/>
      </c>
      <c r="G31" s="376" t="str">
        <f t="shared" si="1"/>
        <v/>
      </c>
      <c r="H31" s="162"/>
      <c r="I31" s="162"/>
      <c r="J31" s="162"/>
      <c r="K31" s="162"/>
      <c r="L31" s="162"/>
      <c r="M31" s="345"/>
      <c r="N31" s="345"/>
      <c r="O31" s="162"/>
      <c r="P31" s="162"/>
      <c r="Q31" s="162"/>
      <c r="R31" s="162"/>
      <c r="S31" s="162"/>
      <c r="T31" s="162"/>
      <c r="U31" s="162"/>
      <c r="V31" s="162"/>
      <c r="W31" s="162"/>
      <c r="X31" s="162"/>
      <c r="Y31" s="162"/>
      <c r="Z31" s="162"/>
      <c r="AA31" s="162"/>
      <c r="AB31" s="162"/>
      <c r="AC31" s="162"/>
      <c r="AD31" s="162"/>
    </row>
    <row r="32" spans="1:30">
      <c r="A32" s="65"/>
      <c r="B32" s="29"/>
      <c r="C32" s="29"/>
      <c r="D32" s="73"/>
      <c r="E32" s="192" t="str">
        <f t="shared" si="2"/>
        <v/>
      </c>
      <c r="F32" s="387" t="str">
        <f t="shared" si="0"/>
        <v/>
      </c>
      <c r="G32" s="376" t="str">
        <f t="shared" si="1"/>
        <v/>
      </c>
      <c r="H32" s="162"/>
      <c r="I32" s="162"/>
      <c r="J32" s="162"/>
      <c r="K32" s="162"/>
      <c r="L32" s="162"/>
      <c r="M32" s="345"/>
      <c r="N32" s="345"/>
      <c r="O32" s="162"/>
      <c r="P32" s="162"/>
      <c r="Q32" s="162"/>
      <c r="R32" s="162"/>
      <c r="S32" s="162"/>
      <c r="T32" s="162"/>
      <c r="U32" s="162"/>
      <c r="V32" s="162"/>
      <c r="W32" s="162"/>
      <c r="X32" s="162"/>
      <c r="Y32" s="162"/>
      <c r="Z32" s="162"/>
      <c r="AA32" s="162"/>
      <c r="AB32" s="162"/>
      <c r="AC32" s="162"/>
      <c r="AD32" s="162"/>
    </row>
    <row r="33" spans="1:30">
      <c r="A33" s="65"/>
      <c r="B33" s="29"/>
      <c r="C33" s="29"/>
      <c r="D33" s="73"/>
      <c r="E33" s="192" t="str">
        <f t="shared" si="2"/>
        <v/>
      </c>
      <c r="F33" s="387" t="str">
        <f t="shared" si="0"/>
        <v/>
      </c>
      <c r="G33" s="376" t="str">
        <f t="shared" si="1"/>
        <v/>
      </c>
      <c r="H33" s="162"/>
      <c r="I33" s="162"/>
      <c r="J33" s="162"/>
      <c r="K33" s="162"/>
      <c r="L33" s="162"/>
      <c r="M33" s="345"/>
      <c r="N33" s="345"/>
      <c r="O33" s="162"/>
      <c r="P33" s="162"/>
      <c r="Q33" s="162"/>
      <c r="R33" s="162"/>
      <c r="S33" s="162"/>
      <c r="T33" s="162"/>
      <c r="U33" s="162"/>
      <c r="V33" s="162"/>
      <c r="W33" s="162"/>
      <c r="X33" s="162"/>
      <c r="Y33" s="162"/>
      <c r="Z33" s="162"/>
      <c r="AA33" s="162"/>
      <c r="AB33" s="162"/>
      <c r="AC33" s="162"/>
      <c r="AD33" s="162"/>
    </row>
    <row r="34" spans="1:30">
      <c r="A34" s="65"/>
      <c r="B34" s="29"/>
      <c r="C34" s="29"/>
      <c r="D34" s="73"/>
      <c r="E34" s="192" t="str">
        <f t="shared" si="2"/>
        <v/>
      </c>
      <c r="F34" s="387" t="str">
        <f t="shared" si="0"/>
        <v/>
      </c>
      <c r="G34" s="376" t="str">
        <f t="shared" si="1"/>
        <v/>
      </c>
      <c r="H34" s="162"/>
      <c r="I34" s="162"/>
      <c r="J34" s="162"/>
      <c r="K34" s="162"/>
      <c r="L34" s="162"/>
      <c r="M34" s="345"/>
      <c r="N34" s="345"/>
      <c r="O34" s="162"/>
      <c r="P34" s="162"/>
      <c r="Q34" s="162"/>
      <c r="R34" s="162"/>
      <c r="S34" s="162"/>
      <c r="T34" s="162"/>
      <c r="U34" s="162"/>
      <c r="V34" s="162"/>
      <c r="W34" s="162"/>
      <c r="X34" s="162"/>
      <c r="Y34" s="162"/>
      <c r="Z34" s="162"/>
      <c r="AA34" s="162"/>
      <c r="AB34" s="162"/>
      <c r="AC34" s="162"/>
      <c r="AD34" s="162"/>
    </row>
    <row r="35" spans="1:30">
      <c r="A35" s="65"/>
      <c r="B35" s="29"/>
      <c r="C35" s="29"/>
      <c r="D35" s="73"/>
      <c r="E35" s="192" t="str">
        <f t="shared" si="2"/>
        <v/>
      </c>
      <c r="F35" s="387" t="str">
        <f t="shared" si="0"/>
        <v/>
      </c>
      <c r="G35" s="376" t="str">
        <f t="shared" si="1"/>
        <v/>
      </c>
      <c r="H35" s="162"/>
      <c r="I35" s="162"/>
      <c r="J35" s="162"/>
      <c r="K35" s="162"/>
      <c r="L35" s="162"/>
      <c r="M35" s="345"/>
      <c r="N35" s="345"/>
      <c r="O35" s="162"/>
      <c r="P35" s="162"/>
      <c r="Q35" s="162"/>
      <c r="R35" s="162"/>
      <c r="S35" s="162"/>
      <c r="T35" s="162"/>
      <c r="U35" s="162"/>
      <c r="V35" s="162"/>
      <c r="W35" s="162"/>
      <c r="X35" s="162"/>
      <c r="Y35" s="162"/>
      <c r="Z35" s="162"/>
      <c r="AA35" s="162"/>
      <c r="AB35" s="162"/>
      <c r="AC35" s="162"/>
      <c r="AD35" s="162"/>
    </row>
    <row r="36" spans="1:30">
      <c r="A36" s="65"/>
      <c r="B36" s="29"/>
      <c r="C36" s="29"/>
      <c r="D36" s="73"/>
      <c r="E36" s="192" t="str">
        <f t="shared" si="2"/>
        <v/>
      </c>
      <c r="F36" s="387" t="str">
        <f t="shared" si="0"/>
        <v/>
      </c>
      <c r="G36" s="376" t="str">
        <f t="shared" si="1"/>
        <v/>
      </c>
      <c r="H36" s="162"/>
      <c r="I36" s="162"/>
      <c r="J36" s="162"/>
      <c r="K36" s="162"/>
      <c r="L36" s="162"/>
      <c r="M36" s="345"/>
      <c r="N36" s="345"/>
      <c r="O36" s="162"/>
      <c r="P36" s="162"/>
      <c r="Q36" s="162"/>
      <c r="R36" s="162"/>
      <c r="S36" s="162"/>
      <c r="T36" s="162"/>
      <c r="U36" s="162"/>
      <c r="V36" s="162"/>
      <c r="W36" s="162"/>
      <c r="X36" s="162"/>
      <c r="Y36" s="162"/>
      <c r="Z36" s="162"/>
      <c r="AA36" s="162"/>
      <c r="AB36" s="162"/>
      <c r="AC36" s="162"/>
      <c r="AD36" s="162"/>
    </row>
    <row r="37" spans="1:30">
      <c r="A37" s="65"/>
      <c r="B37" s="29"/>
      <c r="C37" s="29"/>
      <c r="D37" s="73"/>
      <c r="E37" s="192" t="str">
        <f t="shared" si="2"/>
        <v/>
      </c>
      <c r="F37" s="387" t="str">
        <f t="shared" si="0"/>
        <v/>
      </c>
      <c r="G37" s="376" t="str">
        <f t="shared" si="1"/>
        <v/>
      </c>
      <c r="H37" s="162"/>
      <c r="I37" s="162"/>
      <c r="J37" s="162"/>
      <c r="K37" s="162"/>
      <c r="L37" s="162"/>
      <c r="M37" s="345"/>
      <c r="N37" s="345"/>
      <c r="O37" s="162"/>
      <c r="P37" s="162"/>
      <c r="Q37" s="162"/>
      <c r="R37" s="162"/>
      <c r="S37" s="162"/>
      <c r="T37" s="162"/>
      <c r="U37" s="162"/>
      <c r="V37" s="162"/>
      <c r="W37" s="162"/>
      <c r="X37" s="162"/>
      <c r="Y37" s="162"/>
      <c r="Z37" s="162"/>
      <c r="AA37" s="162"/>
      <c r="AB37" s="162"/>
      <c r="AC37" s="162"/>
      <c r="AD37" s="162"/>
    </row>
    <row r="38" spans="1:30">
      <c r="A38" s="65"/>
      <c r="B38" s="29"/>
      <c r="C38" s="29"/>
      <c r="D38" s="73"/>
      <c r="E38" s="192" t="str">
        <f t="shared" si="2"/>
        <v/>
      </c>
      <c r="F38" s="387" t="str">
        <f t="shared" si="0"/>
        <v/>
      </c>
      <c r="G38" s="376" t="str">
        <f t="shared" si="1"/>
        <v/>
      </c>
      <c r="H38" s="162"/>
      <c r="I38" s="162"/>
      <c r="J38" s="162"/>
      <c r="K38" s="162"/>
      <c r="L38" s="162"/>
      <c r="M38" s="345"/>
      <c r="N38" s="345"/>
      <c r="O38" s="162"/>
      <c r="P38" s="162"/>
      <c r="Q38" s="162"/>
      <c r="R38" s="162"/>
      <c r="S38" s="162"/>
      <c r="T38" s="162"/>
      <c r="U38" s="162"/>
      <c r="V38" s="162"/>
      <c r="W38" s="162"/>
      <c r="X38" s="162"/>
      <c r="Y38" s="162"/>
      <c r="Z38" s="162"/>
      <c r="AA38" s="162"/>
      <c r="AB38" s="162"/>
      <c r="AC38" s="162"/>
      <c r="AD38" s="162"/>
    </row>
    <row r="39" spans="1:30">
      <c r="A39" s="65"/>
      <c r="B39" s="29"/>
      <c r="C39" s="29"/>
      <c r="D39" s="73"/>
      <c r="E39" s="192" t="str">
        <f t="shared" si="2"/>
        <v/>
      </c>
      <c r="F39" s="387" t="str">
        <f t="shared" si="0"/>
        <v/>
      </c>
      <c r="G39" s="376" t="str">
        <f t="shared" si="1"/>
        <v/>
      </c>
      <c r="H39" s="162"/>
      <c r="I39" s="162"/>
      <c r="J39" s="162"/>
      <c r="K39" s="162"/>
      <c r="L39" s="162"/>
      <c r="M39" s="345"/>
      <c r="N39" s="345"/>
      <c r="O39" s="162"/>
      <c r="P39" s="162"/>
      <c r="Q39" s="162"/>
      <c r="R39" s="162"/>
      <c r="S39" s="162"/>
      <c r="T39" s="162"/>
      <c r="U39" s="162"/>
      <c r="V39" s="162"/>
      <c r="W39" s="162"/>
      <c r="X39" s="162"/>
      <c r="Y39" s="162"/>
      <c r="Z39" s="162"/>
      <c r="AA39" s="162"/>
      <c r="AB39" s="162"/>
      <c r="AC39" s="162"/>
      <c r="AD39" s="162"/>
    </row>
    <row r="40" spans="1:30">
      <c r="A40" s="65"/>
      <c r="B40" s="29"/>
      <c r="C40" s="29"/>
      <c r="D40" s="73"/>
      <c r="E40" s="192" t="str">
        <f t="shared" si="2"/>
        <v/>
      </c>
      <c r="F40" s="387" t="str">
        <f t="shared" si="0"/>
        <v/>
      </c>
      <c r="G40" s="376" t="str">
        <f t="shared" si="1"/>
        <v/>
      </c>
      <c r="H40" s="162"/>
      <c r="I40" s="162"/>
      <c r="J40" s="162"/>
      <c r="K40" s="162"/>
      <c r="L40" s="162"/>
      <c r="M40" s="345"/>
      <c r="N40" s="345"/>
      <c r="O40" s="162"/>
      <c r="P40" s="162"/>
      <c r="Q40" s="162"/>
      <c r="R40" s="162"/>
      <c r="S40" s="162"/>
      <c r="T40" s="162"/>
      <c r="U40" s="162"/>
      <c r="V40" s="162"/>
      <c r="W40" s="162"/>
      <c r="X40" s="162"/>
      <c r="Y40" s="162"/>
      <c r="Z40" s="162"/>
      <c r="AA40" s="162"/>
      <c r="AB40" s="162"/>
      <c r="AC40" s="162"/>
      <c r="AD40" s="162"/>
    </row>
    <row r="41" spans="1:30">
      <c r="A41" s="65"/>
      <c r="B41" s="29"/>
      <c r="C41" s="29"/>
      <c r="D41" s="73"/>
      <c r="E41" s="192" t="str">
        <f t="shared" si="2"/>
        <v/>
      </c>
      <c r="F41" s="387" t="str">
        <f t="shared" si="0"/>
        <v/>
      </c>
      <c r="G41" s="376" t="str">
        <f t="shared" si="1"/>
        <v/>
      </c>
      <c r="H41" s="162"/>
      <c r="I41" s="162"/>
      <c r="J41" s="162"/>
      <c r="K41" s="162"/>
      <c r="L41" s="162"/>
      <c r="M41" s="345"/>
      <c r="N41" s="345"/>
      <c r="O41" s="162"/>
      <c r="P41" s="162"/>
      <c r="Q41" s="162"/>
      <c r="R41" s="162"/>
      <c r="S41" s="162"/>
      <c r="T41" s="162"/>
      <c r="U41" s="162"/>
      <c r="V41" s="162"/>
      <c r="W41" s="162"/>
      <c r="X41" s="162"/>
      <c r="Y41" s="162"/>
      <c r="Z41" s="162"/>
      <c r="AA41" s="162"/>
      <c r="AB41" s="162"/>
      <c r="AC41" s="162"/>
      <c r="AD41" s="162"/>
    </row>
    <row r="42" spans="1:30">
      <c r="A42" s="65"/>
      <c r="B42" s="29"/>
      <c r="C42" s="29"/>
      <c r="D42" s="73"/>
      <c r="E42" s="192" t="str">
        <f t="shared" si="2"/>
        <v/>
      </c>
      <c r="F42" s="387" t="str">
        <f t="shared" si="0"/>
        <v/>
      </c>
      <c r="G42" s="376" t="str">
        <f t="shared" si="1"/>
        <v/>
      </c>
      <c r="H42" s="162"/>
      <c r="I42" s="162"/>
      <c r="J42" s="162"/>
      <c r="K42" s="162"/>
      <c r="L42" s="162"/>
      <c r="M42" s="345"/>
      <c r="N42" s="346"/>
      <c r="O42" s="162"/>
      <c r="P42" s="162"/>
      <c r="Q42" s="162"/>
      <c r="R42" s="162"/>
      <c r="S42" s="162"/>
      <c r="T42" s="162"/>
      <c r="U42" s="162"/>
      <c r="V42" s="162"/>
      <c r="W42" s="162"/>
      <c r="X42" s="162"/>
      <c r="Y42" s="162"/>
      <c r="Z42" s="162"/>
      <c r="AA42" s="162"/>
      <c r="AB42" s="162"/>
      <c r="AC42" s="162"/>
      <c r="AD42" s="162"/>
    </row>
    <row r="43" spans="1:30">
      <c r="A43" s="65"/>
      <c r="B43" s="29"/>
      <c r="C43" s="29"/>
      <c r="D43" s="73"/>
      <c r="E43" s="192" t="str">
        <f t="shared" si="2"/>
        <v/>
      </c>
      <c r="F43" s="387" t="str">
        <f t="shared" si="0"/>
        <v/>
      </c>
      <c r="G43" s="376" t="str">
        <f t="shared" si="1"/>
        <v/>
      </c>
      <c r="H43" s="162"/>
      <c r="I43" s="162"/>
      <c r="J43" s="162"/>
      <c r="K43" s="162"/>
      <c r="L43" s="162"/>
      <c r="M43" s="345"/>
      <c r="N43" s="346"/>
      <c r="O43" s="162"/>
      <c r="P43" s="162"/>
      <c r="Q43" s="162"/>
      <c r="R43" s="162"/>
      <c r="S43" s="162"/>
      <c r="T43" s="162"/>
      <c r="U43" s="162"/>
      <c r="V43" s="162"/>
      <c r="W43" s="162"/>
      <c r="X43" s="162"/>
      <c r="Y43" s="162"/>
      <c r="Z43" s="162"/>
      <c r="AA43" s="162"/>
      <c r="AB43" s="162"/>
      <c r="AC43" s="162"/>
      <c r="AD43" s="162"/>
    </row>
    <row r="44" spans="1:30">
      <c r="A44" s="65"/>
      <c r="B44" s="29"/>
      <c r="C44" s="29"/>
      <c r="D44" s="73"/>
      <c r="E44" s="192" t="str">
        <f t="shared" si="2"/>
        <v/>
      </c>
      <c r="F44" s="387" t="str">
        <f t="shared" si="0"/>
        <v/>
      </c>
      <c r="G44" s="376" t="str">
        <f t="shared" si="1"/>
        <v/>
      </c>
      <c r="H44" s="162"/>
      <c r="I44" s="162"/>
      <c r="J44" s="162"/>
      <c r="K44" s="162"/>
      <c r="L44" s="162"/>
      <c r="M44" s="345"/>
      <c r="N44" s="346"/>
      <c r="O44" s="162"/>
      <c r="P44" s="162"/>
      <c r="Q44" s="162"/>
      <c r="R44" s="162"/>
      <c r="S44" s="162"/>
      <c r="T44" s="162"/>
      <c r="U44" s="162"/>
      <c r="V44" s="162"/>
      <c r="W44" s="162"/>
      <c r="X44" s="162"/>
      <c r="Y44" s="162"/>
      <c r="Z44" s="162"/>
      <c r="AA44" s="162"/>
      <c r="AB44" s="162"/>
      <c r="AC44" s="162"/>
      <c r="AD44" s="162"/>
    </row>
    <row r="45" spans="1:30">
      <c r="A45" s="65"/>
      <c r="B45" s="29"/>
      <c r="C45" s="29"/>
      <c r="D45" s="73"/>
      <c r="E45" s="192" t="str">
        <f t="shared" si="2"/>
        <v/>
      </c>
      <c r="F45" s="387" t="str">
        <f t="shared" si="0"/>
        <v/>
      </c>
      <c r="G45" s="376" t="str">
        <f t="shared" si="1"/>
        <v/>
      </c>
      <c r="H45" s="162"/>
      <c r="I45" s="162"/>
      <c r="J45" s="162"/>
      <c r="K45" s="162"/>
      <c r="L45" s="162"/>
      <c r="M45" s="345"/>
      <c r="N45" s="346"/>
      <c r="O45" s="162"/>
      <c r="P45" s="162"/>
      <c r="Q45" s="162"/>
      <c r="R45" s="162"/>
      <c r="S45" s="162"/>
      <c r="T45" s="162"/>
      <c r="U45" s="162"/>
      <c r="V45" s="162"/>
      <c r="W45" s="162"/>
      <c r="X45" s="162"/>
      <c r="Y45" s="162"/>
      <c r="Z45" s="162"/>
      <c r="AA45" s="162"/>
      <c r="AB45" s="162"/>
      <c r="AC45" s="162"/>
      <c r="AD45" s="162"/>
    </row>
    <row r="46" spans="1:30">
      <c r="A46" s="65"/>
      <c r="B46" s="29"/>
      <c r="C46" s="29"/>
      <c r="D46" s="73"/>
      <c r="E46" s="192" t="str">
        <f t="shared" si="2"/>
        <v/>
      </c>
      <c r="F46" s="387" t="str">
        <f t="shared" si="0"/>
        <v/>
      </c>
      <c r="G46" s="376" t="str">
        <f t="shared" si="1"/>
        <v/>
      </c>
      <c r="H46" s="162"/>
      <c r="I46" s="162"/>
      <c r="J46" s="162"/>
      <c r="K46" s="162"/>
      <c r="L46" s="162"/>
      <c r="M46" s="163"/>
      <c r="N46" s="163"/>
      <c r="O46" s="162"/>
      <c r="P46" s="162"/>
      <c r="Q46" s="162"/>
      <c r="R46" s="162"/>
      <c r="S46" s="162"/>
      <c r="T46" s="162"/>
      <c r="U46" s="162"/>
      <c r="V46" s="162"/>
      <c r="W46" s="162"/>
      <c r="X46" s="162"/>
      <c r="Y46" s="162"/>
      <c r="Z46" s="162"/>
      <c r="AA46" s="162"/>
      <c r="AB46" s="162"/>
      <c r="AC46" s="162"/>
      <c r="AD46" s="162"/>
    </row>
    <row r="47" spans="1:30">
      <c r="A47" s="65"/>
      <c r="B47" s="29"/>
      <c r="C47" s="29"/>
      <c r="D47" s="73"/>
      <c r="E47" s="192" t="str">
        <f t="shared" si="2"/>
        <v/>
      </c>
      <c r="F47" s="387" t="str">
        <f t="shared" si="0"/>
        <v/>
      </c>
      <c r="G47" s="376" t="str">
        <f t="shared" si="1"/>
        <v/>
      </c>
      <c r="H47" s="162"/>
      <c r="I47" s="162"/>
      <c r="J47" s="162"/>
      <c r="K47" s="162"/>
      <c r="L47" s="162"/>
      <c r="M47" s="163"/>
      <c r="N47" s="163"/>
      <c r="O47" s="162"/>
      <c r="P47" s="162"/>
      <c r="Q47" s="162"/>
      <c r="R47" s="162"/>
      <c r="S47" s="162"/>
      <c r="T47" s="162"/>
      <c r="U47" s="162"/>
      <c r="V47" s="162"/>
      <c r="W47" s="162"/>
      <c r="X47" s="162"/>
      <c r="Y47" s="162"/>
      <c r="Z47" s="162"/>
      <c r="AA47" s="162"/>
      <c r="AB47" s="162"/>
      <c r="AC47" s="162"/>
      <c r="AD47" s="162"/>
    </row>
    <row r="48" spans="1:30">
      <c r="A48" s="65"/>
      <c r="B48" s="29"/>
      <c r="C48" s="29"/>
      <c r="D48" s="73"/>
      <c r="E48" s="192" t="str">
        <f t="shared" si="2"/>
        <v/>
      </c>
      <c r="F48" s="387" t="str">
        <f t="shared" si="0"/>
        <v/>
      </c>
      <c r="G48" s="376" t="str">
        <f t="shared" si="1"/>
        <v/>
      </c>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row>
    <row r="49" spans="1:30">
      <c r="A49" s="65"/>
      <c r="B49" s="29"/>
      <c r="C49" s="29"/>
      <c r="D49" s="73"/>
      <c r="E49" s="192" t="str">
        <f t="shared" si="2"/>
        <v/>
      </c>
      <c r="F49" s="387" t="str">
        <f t="shared" si="0"/>
        <v/>
      </c>
      <c r="G49" s="376" t="str">
        <f t="shared" si="1"/>
        <v/>
      </c>
      <c r="H49" s="162"/>
      <c r="I49" s="162"/>
      <c r="J49" s="162"/>
      <c r="K49" s="162"/>
      <c r="L49" s="162"/>
      <c r="M49" s="163"/>
      <c r="N49" s="163"/>
      <c r="O49" s="162"/>
      <c r="P49" s="162"/>
      <c r="Q49" s="162"/>
      <c r="R49" s="162"/>
      <c r="S49" s="162"/>
      <c r="T49" s="162"/>
      <c r="U49" s="162"/>
      <c r="V49" s="162"/>
      <c r="W49" s="162"/>
      <c r="X49" s="162"/>
      <c r="Y49" s="162"/>
      <c r="Z49" s="162"/>
      <c r="AA49" s="162"/>
      <c r="AB49" s="162"/>
      <c r="AC49" s="162"/>
      <c r="AD49" s="162"/>
    </row>
    <row r="50" spans="1:30">
      <c r="A50" s="65"/>
      <c r="B50" s="29"/>
      <c r="C50" s="29"/>
      <c r="D50" s="73"/>
      <c r="E50" s="192" t="str">
        <f t="shared" si="2"/>
        <v/>
      </c>
      <c r="F50" s="387" t="str">
        <f t="shared" si="0"/>
        <v/>
      </c>
      <c r="G50" s="376" t="str">
        <f t="shared" si="1"/>
        <v/>
      </c>
      <c r="H50" s="162"/>
      <c r="I50" s="162"/>
      <c r="J50" s="162"/>
      <c r="K50" s="162"/>
      <c r="L50" s="162"/>
      <c r="M50" s="163"/>
      <c r="N50" s="163"/>
      <c r="O50" s="162"/>
      <c r="P50" s="162"/>
      <c r="Q50" s="162"/>
      <c r="R50" s="162"/>
      <c r="S50" s="162"/>
      <c r="T50" s="162"/>
      <c r="U50" s="162"/>
      <c r="V50" s="162"/>
      <c r="W50" s="162"/>
      <c r="X50" s="162"/>
      <c r="Y50" s="162"/>
      <c r="Z50" s="162"/>
      <c r="AA50" s="162"/>
      <c r="AB50" s="162"/>
      <c r="AC50" s="162"/>
      <c r="AD50" s="162"/>
    </row>
    <row r="51" spans="1:30">
      <c r="A51" s="65"/>
      <c r="B51" s="29"/>
      <c r="C51" s="29"/>
      <c r="D51" s="73"/>
      <c r="E51" s="192" t="str">
        <f t="shared" si="2"/>
        <v/>
      </c>
      <c r="F51" s="387" t="str">
        <f t="shared" si="0"/>
        <v/>
      </c>
      <c r="G51" s="376" t="str">
        <f t="shared" si="1"/>
        <v/>
      </c>
      <c r="H51" s="162"/>
      <c r="I51" s="162"/>
      <c r="J51" s="162"/>
      <c r="K51" s="162"/>
      <c r="L51" s="162"/>
      <c r="M51" s="163"/>
      <c r="N51" s="163"/>
      <c r="O51" s="162"/>
      <c r="P51" s="162"/>
      <c r="Q51" s="162"/>
      <c r="R51" s="162"/>
      <c r="S51" s="162"/>
      <c r="T51" s="162"/>
      <c r="U51" s="162"/>
      <c r="V51" s="162"/>
      <c r="W51" s="162"/>
      <c r="X51" s="162"/>
      <c r="Y51" s="162"/>
      <c r="Z51" s="162"/>
      <c r="AA51" s="162"/>
      <c r="AB51" s="162"/>
      <c r="AC51" s="162"/>
      <c r="AD51" s="162"/>
    </row>
    <row r="52" spans="1:30" ht="13.5" thickBot="1">
      <c r="A52" s="66"/>
      <c r="B52" s="67"/>
      <c r="C52" s="67"/>
      <c r="D52" s="74"/>
      <c r="E52" s="377" t="str">
        <f t="shared" si="2"/>
        <v/>
      </c>
      <c r="F52" s="389" t="str">
        <f t="shared" si="0"/>
        <v/>
      </c>
      <c r="G52" s="379" t="str">
        <f t="shared" si="1"/>
        <v/>
      </c>
      <c r="H52" s="162"/>
      <c r="I52" s="162"/>
      <c r="J52" s="162"/>
      <c r="K52" s="162"/>
      <c r="L52" s="162"/>
      <c r="M52" s="163"/>
      <c r="N52" s="163"/>
      <c r="O52" s="162"/>
      <c r="P52" s="162"/>
      <c r="Q52" s="162"/>
      <c r="R52" s="162"/>
      <c r="S52" s="162"/>
      <c r="T52" s="162"/>
      <c r="U52" s="162"/>
      <c r="V52" s="162"/>
      <c r="W52" s="162"/>
      <c r="X52" s="162"/>
      <c r="Y52" s="162"/>
      <c r="Z52" s="162"/>
      <c r="AA52" s="162"/>
      <c r="AB52" s="162"/>
      <c r="AC52" s="162"/>
      <c r="AD52" s="162"/>
    </row>
    <row r="53" spans="1:30" ht="13.5" thickBot="1">
      <c r="A53" s="904" t="s">
        <v>407</v>
      </c>
      <c r="B53" s="38"/>
      <c r="C53" s="38"/>
      <c r="D53" s="129"/>
      <c r="E53" s="39">
        <f>SUM(E15:E52)</f>
        <v>0</v>
      </c>
      <c r="F53" s="105">
        <f>SUM(F15:F52)</f>
        <v>0</v>
      </c>
      <c r="G53" s="100">
        <f>SUM(G15:G52)</f>
        <v>0</v>
      </c>
      <c r="H53" s="162"/>
      <c r="I53" s="162"/>
      <c r="J53" s="162"/>
      <c r="K53" s="162"/>
      <c r="L53" s="162"/>
      <c r="M53" s="163"/>
      <c r="N53" s="163"/>
      <c r="O53" s="162"/>
      <c r="P53" s="162"/>
      <c r="Q53" s="162"/>
      <c r="R53" s="162"/>
      <c r="S53" s="162"/>
      <c r="T53" s="162"/>
      <c r="U53" s="162"/>
      <c r="V53" s="162"/>
      <c r="W53" s="162"/>
      <c r="X53" s="162"/>
      <c r="Y53" s="162"/>
      <c r="Z53" s="162"/>
      <c r="AA53" s="162"/>
      <c r="AB53" s="162"/>
      <c r="AC53" s="162"/>
      <c r="AD53" s="162"/>
    </row>
    <row r="54" spans="1:30">
      <c r="A54" s="4"/>
      <c r="B54" s="4"/>
      <c r="C54" s="4"/>
      <c r="D54" s="4"/>
      <c r="E54" s="63"/>
      <c r="F54" s="132"/>
      <c r="G54" s="132"/>
      <c r="H54" s="162"/>
      <c r="I54" s="162"/>
      <c r="J54" s="162"/>
      <c r="K54" s="162"/>
      <c r="L54" s="162"/>
      <c r="M54" s="163"/>
      <c r="N54" s="163"/>
      <c r="O54" s="162"/>
      <c r="P54" s="162"/>
      <c r="Q54" s="162"/>
      <c r="R54" s="162"/>
      <c r="S54" s="162"/>
      <c r="T54" s="162"/>
      <c r="U54" s="162"/>
      <c r="V54" s="162"/>
      <c r="W54" s="162"/>
      <c r="X54" s="162"/>
      <c r="Y54" s="162"/>
      <c r="Z54" s="162"/>
      <c r="AA54" s="162"/>
      <c r="AB54" s="162"/>
      <c r="AC54" s="162"/>
      <c r="AD54" s="162"/>
    </row>
    <row r="55" spans="1:30">
      <c r="A55" s="4"/>
      <c r="B55" s="4"/>
      <c r="C55" s="4"/>
      <c r="D55" s="4"/>
      <c r="E55" s="4"/>
      <c r="F55" s="4"/>
      <c r="G55" s="4"/>
      <c r="H55" s="162"/>
      <c r="I55" s="162"/>
      <c r="J55" s="162"/>
      <c r="K55" s="162"/>
      <c r="L55" s="162"/>
      <c r="M55" s="163"/>
      <c r="N55" s="163"/>
      <c r="O55" s="162"/>
      <c r="P55" s="162"/>
      <c r="Q55" s="162"/>
      <c r="R55" s="162"/>
      <c r="S55" s="162"/>
      <c r="T55" s="162"/>
      <c r="U55" s="162"/>
      <c r="V55" s="162"/>
      <c r="W55" s="162"/>
      <c r="X55" s="162"/>
      <c r="Y55" s="162"/>
      <c r="Z55" s="162"/>
      <c r="AA55" s="162"/>
      <c r="AB55" s="162"/>
      <c r="AC55" s="162"/>
      <c r="AD55" s="162"/>
    </row>
    <row r="56" spans="1:30" ht="23.25" customHeight="1" thickBot="1">
      <c r="A56" s="7" t="s">
        <v>406</v>
      </c>
      <c r="B56" s="4"/>
      <c r="C56" s="4"/>
      <c r="D56" s="4"/>
      <c r="E56" s="4"/>
      <c r="F56" s="4"/>
      <c r="G56" s="4"/>
      <c r="H56" s="162"/>
      <c r="I56" s="162"/>
      <c r="J56" s="162"/>
      <c r="K56" s="162"/>
      <c r="L56" s="162"/>
      <c r="M56" s="163"/>
      <c r="N56" s="163"/>
      <c r="O56" s="162"/>
      <c r="P56" s="162"/>
      <c r="Q56" s="162"/>
      <c r="R56" s="162"/>
      <c r="S56" s="162"/>
      <c r="T56" s="162"/>
      <c r="U56" s="162"/>
      <c r="V56" s="162"/>
      <c r="W56" s="162"/>
      <c r="X56" s="162"/>
      <c r="Y56" s="162"/>
      <c r="Z56" s="162"/>
      <c r="AA56" s="162"/>
      <c r="AB56" s="162"/>
      <c r="AC56" s="162"/>
      <c r="AD56" s="162"/>
    </row>
    <row r="57" spans="1:30" ht="42.75" customHeight="1" thickBot="1">
      <c r="A57" s="420" t="s">
        <v>284</v>
      </c>
      <c r="B57" s="421" t="s">
        <v>0</v>
      </c>
      <c r="C57" s="421" t="s">
        <v>135</v>
      </c>
      <c r="D57" s="423" t="s">
        <v>1263</v>
      </c>
      <c r="E57" s="193" t="s">
        <v>285</v>
      </c>
      <c r="F57" s="193" t="s">
        <v>286</v>
      </c>
      <c r="G57" s="194" t="s">
        <v>287</v>
      </c>
      <c r="H57" s="162"/>
      <c r="I57" s="162"/>
      <c r="J57" s="162"/>
      <c r="K57" s="162"/>
      <c r="L57" s="162"/>
      <c r="M57" s="163"/>
      <c r="N57" s="163"/>
      <c r="O57" s="162"/>
      <c r="P57" s="162"/>
      <c r="Q57" s="162"/>
      <c r="R57" s="162"/>
      <c r="S57" s="162"/>
      <c r="T57" s="162"/>
      <c r="U57" s="162"/>
      <c r="V57" s="162"/>
      <c r="W57" s="162"/>
      <c r="X57" s="162"/>
      <c r="Y57" s="162"/>
      <c r="Z57" s="162"/>
      <c r="AA57" s="162"/>
      <c r="AB57" s="162"/>
      <c r="AC57" s="162"/>
      <c r="AD57" s="162"/>
    </row>
    <row r="58" spans="1:30">
      <c r="A58" s="474" t="s">
        <v>16</v>
      </c>
      <c r="B58" s="449" t="s">
        <v>267</v>
      </c>
      <c r="C58" s="467" t="s">
        <v>656</v>
      </c>
      <c r="D58" s="450">
        <v>100</v>
      </c>
      <c r="E58" s="464">
        <f t="shared" ref="E58:E96" si="3">IF($C58="","",VLOOKUP(C58,Prod_TransTM_fctrs,2,FALSE)*$D58)</f>
        <v>17</v>
      </c>
      <c r="F58" s="464">
        <f>IF($C58="","",VLOOKUP(C58,Prod_TransTM_fctrs,3,FALSE)*$D58)</f>
        <v>0.16</v>
      </c>
      <c r="G58" s="465">
        <f>IF($C58="","",VLOOKUP(C58,Prod_TransTM_fctrs,4,FALSE)*$D58)</f>
        <v>0.47000000000000003</v>
      </c>
      <c r="H58" s="162"/>
      <c r="I58" s="162"/>
      <c r="J58" s="162"/>
      <c r="K58" s="162"/>
      <c r="L58" s="162"/>
      <c r="M58" s="163"/>
      <c r="N58" s="163"/>
      <c r="O58" s="162"/>
      <c r="P58" s="162"/>
      <c r="Q58" s="162"/>
      <c r="R58" s="162"/>
      <c r="S58" s="162"/>
      <c r="T58" s="162"/>
      <c r="U58" s="162"/>
      <c r="V58" s="162"/>
      <c r="W58" s="162"/>
      <c r="X58" s="162"/>
      <c r="Y58" s="162"/>
      <c r="Z58" s="162"/>
      <c r="AA58" s="162"/>
      <c r="AB58" s="162"/>
      <c r="AC58" s="162"/>
      <c r="AD58" s="162"/>
    </row>
    <row r="59" spans="1:30">
      <c r="A59" s="174"/>
      <c r="B59" s="169"/>
      <c r="C59" s="211"/>
      <c r="D59" s="173"/>
      <c r="E59" s="401" t="str">
        <f t="shared" si="3"/>
        <v/>
      </c>
      <c r="F59" s="164" t="str">
        <f t="shared" ref="F59:F96" si="4">IF($C59="","",VLOOKUP(C59,Prod_TransTM_fctrs,3,FALSE)*$D59)</f>
        <v/>
      </c>
      <c r="G59" s="172" t="str">
        <f t="shared" ref="G59:G96" si="5">IF($C59="","",VLOOKUP(C59,Prod_TransTM_fctrs,4,FALSE)*$D59)</f>
        <v/>
      </c>
      <c r="H59" s="162"/>
      <c r="I59" s="162"/>
      <c r="J59" s="162"/>
      <c r="K59" s="162"/>
      <c r="L59" s="162"/>
      <c r="M59" s="163"/>
      <c r="N59" s="163"/>
      <c r="O59" s="162"/>
      <c r="P59" s="162"/>
      <c r="Q59" s="162"/>
      <c r="R59" s="162"/>
      <c r="S59" s="162"/>
      <c r="T59" s="162"/>
      <c r="U59" s="162"/>
      <c r="V59" s="162"/>
      <c r="W59" s="162"/>
      <c r="X59" s="162"/>
      <c r="Y59" s="162"/>
      <c r="Z59" s="162"/>
      <c r="AA59" s="162"/>
      <c r="AB59" s="162"/>
      <c r="AC59" s="162"/>
      <c r="AD59" s="162"/>
    </row>
    <row r="60" spans="1:30">
      <c r="A60" s="93"/>
      <c r="B60" s="28"/>
      <c r="C60" s="211"/>
      <c r="D60" s="75"/>
      <c r="E60" s="2" t="str">
        <f t="shared" si="3"/>
        <v/>
      </c>
      <c r="F60" s="89" t="str">
        <f t="shared" si="4"/>
        <v/>
      </c>
      <c r="G60" s="102" t="str">
        <f t="shared" si="5"/>
        <v/>
      </c>
      <c r="H60" s="162"/>
      <c r="I60" s="162"/>
      <c r="J60" s="162"/>
      <c r="K60" s="162"/>
      <c r="L60" s="162"/>
      <c r="M60" s="163"/>
      <c r="N60" s="163"/>
      <c r="O60" s="162"/>
      <c r="P60" s="162"/>
      <c r="Q60" s="162"/>
      <c r="R60" s="162"/>
      <c r="S60" s="162"/>
      <c r="T60" s="162"/>
      <c r="U60" s="162"/>
      <c r="V60" s="162"/>
      <c r="W60" s="162"/>
      <c r="X60" s="162"/>
      <c r="Y60" s="162"/>
      <c r="Z60" s="162"/>
      <c r="AA60" s="162"/>
      <c r="AB60" s="162"/>
      <c r="AC60" s="162"/>
      <c r="AD60" s="162"/>
    </row>
    <row r="61" spans="1:30">
      <c r="A61" s="93"/>
      <c r="B61" s="28"/>
      <c r="C61" s="211"/>
      <c r="D61" s="173"/>
      <c r="E61" s="2" t="str">
        <f t="shared" si="3"/>
        <v/>
      </c>
      <c r="F61" s="89" t="str">
        <f t="shared" si="4"/>
        <v/>
      </c>
      <c r="G61" s="102" t="str">
        <f t="shared" si="5"/>
        <v/>
      </c>
      <c r="H61" s="162"/>
      <c r="I61" s="162"/>
      <c r="J61" s="162"/>
      <c r="K61" s="162"/>
      <c r="L61" s="162"/>
      <c r="M61" s="163"/>
      <c r="N61" s="163"/>
      <c r="O61" s="162"/>
      <c r="P61" s="162"/>
      <c r="Q61" s="162"/>
      <c r="R61" s="162"/>
      <c r="S61" s="162"/>
      <c r="T61" s="162"/>
      <c r="U61" s="162"/>
      <c r="V61" s="162"/>
      <c r="W61" s="162"/>
      <c r="X61" s="162"/>
      <c r="Y61" s="162"/>
      <c r="Z61" s="162"/>
      <c r="AA61" s="162"/>
      <c r="AB61" s="162"/>
      <c r="AC61" s="162"/>
      <c r="AD61" s="162"/>
    </row>
    <row r="62" spans="1:30">
      <c r="A62" s="93"/>
      <c r="B62" s="28"/>
      <c r="C62" s="211"/>
      <c r="D62" s="75"/>
      <c r="E62" s="2" t="str">
        <f t="shared" si="3"/>
        <v/>
      </c>
      <c r="F62" s="89" t="str">
        <f t="shared" si="4"/>
        <v/>
      </c>
      <c r="G62" s="102" t="str">
        <f t="shared" si="5"/>
        <v/>
      </c>
      <c r="H62" s="162"/>
      <c r="I62" s="162"/>
      <c r="J62" s="163"/>
      <c r="K62" s="163"/>
      <c r="L62" s="163"/>
      <c r="M62" s="163"/>
      <c r="N62" s="163"/>
      <c r="O62" s="162"/>
      <c r="P62" s="162"/>
      <c r="Q62" s="162"/>
      <c r="R62" s="162"/>
      <c r="S62" s="162"/>
      <c r="T62" s="162"/>
      <c r="U62" s="162"/>
      <c r="V62" s="162"/>
      <c r="W62" s="162"/>
      <c r="X62" s="162"/>
      <c r="Y62" s="162"/>
      <c r="Z62" s="162"/>
      <c r="AA62" s="162"/>
      <c r="AB62" s="162"/>
      <c r="AC62" s="162"/>
      <c r="AD62" s="162"/>
    </row>
    <row r="63" spans="1:30">
      <c r="A63" s="93"/>
      <c r="B63" s="28"/>
      <c r="C63" s="211"/>
      <c r="D63" s="173"/>
      <c r="E63" s="2" t="str">
        <f t="shared" si="3"/>
        <v/>
      </c>
      <c r="F63" s="89" t="str">
        <f t="shared" si="4"/>
        <v/>
      </c>
      <c r="G63" s="102" t="str">
        <f t="shared" si="5"/>
        <v/>
      </c>
      <c r="H63" s="162"/>
      <c r="I63" s="162"/>
      <c r="J63" s="163"/>
      <c r="K63" s="163"/>
      <c r="L63" s="163"/>
      <c r="M63" s="163"/>
      <c r="N63" s="163"/>
      <c r="O63" s="162"/>
      <c r="P63" s="162"/>
      <c r="Q63" s="162"/>
      <c r="R63" s="162"/>
      <c r="S63" s="162"/>
      <c r="T63" s="162"/>
      <c r="U63" s="162"/>
      <c r="V63" s="162"/>
      <c r="W63" s="162"/>
      <c r="X63" s="162"/>
      <c r="Y63" s="162"/>
      <c r="Z63" s="162"/>
      <c r="AA63" s="162"/>
      <c r="AB63" s="162"/>
      <c r="AC63" s="162"/>
      <c r="AD63" s="162"/>
    </row>
    <row r="64" spans="1:30">
      <c r="A64" s="93"/>
      <c r="B64" s="28"/>
      <c r="C64" s="211"/>
      <c r="D64" s="73"/>
      <c r="E64" s="2" t="str">
        <f t="shared" si="3"/>
        <v/>
      </c>
      <c r="F64" s="89" t="str">
        <f t="shared" si="4"/>
        <v/>
      </c>
      <c r="G64" s="102" t="str">
        <f t="shared" si="5"/>
        <v/>
      </c>
      <c r="H64" s="162"/>
      <c r="I64" s="162"/>
      <c r="J64" s="163"/>
      <c r="K64" s="163"/>
      <c r="L64" s="163"/>
      <c r="M64" s="163"/>
      <c r="N64" s="163"/>
      <c r="O64" s="835"/>
      <c r="P64" s="835"/>
      <c r="Q64" s="162"/>
      <c r="R64" s="162"/>
      <c r="S64" s="162"/>
      <c r="T64" s="162"/>
      <c r="U64" s="162"/>
      <c r="V64" s="162"/>
      <c r="W64" s="162"/>
      <c r="X64" s="162"/>
      <c r="Y64" s="162"/>
      <c r="Z64" s="162"/>
      <c r="AA64" s="162"/>
      <c r="AB64" s="162"/>
      <c r="AC64" s="162"/>
      <c r="AD64" s="162"/>
    </row>
    <row r="65" spans="1:30">
      <c r="A65" s="93"/>
      <c r="B65" s="28"/>
      <c r="C65" s="211"/>
      <c r="D65" s="73"/>
      <c r="E65" s="2" t="str">
        <f t="shared" si="3"/>
        <v/>
      </c>
      <c r="F65" s="89" t="str">
        <f t="shared" si="4"/>
        <v/>
      </c>
      <c r="G65" s="102" t="str">
        <f t="shared" si="5"/>
        <v/>
      </c>
      <c r="H65" s="162"/>
      <c r="I65" s="162"/>
      <c r="J65" s="163"/>
      <c r="K65" s="163"/>
      <c r="L65" s="163"/>
      <c r="M65" s="163"/>
      <c r="N65" s="163"/>
      <c r="O65" s="835"/>
      <c r="P65" s="835"/>
      <c r="Q65" s="162"/>
      <c r="R65" s="162"/>
      <c r="S65" s="162"/>
      <c r="T65" s="162"/>
      <c r="U65" s="162"/>
      <c r="V65" s="162"/>
      <c r="W65" s="162"/>
      <c r="X65" s="162"/>
      <c r="Y65" s="162"/>
      <c r="Z65" s="162"/>
      <c r="AA65" s="162"/>
      <c r="AB65" s="162"/>
      <c r="AC65" s="162"/>
      <c r="AD65" s="162"/>
    </row>
    <row r="66" spans="1:30">
      <c r="A66" s="93"/>
      <c r="B66" s="28"/>
      <c r="C66" s="211"/>
      <c r="D66" s="73"/>
      <c r="E66" s="2" t="str">
        <f t="shared" si="3"/>
        <v/>
      </c>
      <c r="F66" s="89" t="str">
        <f t="shared" si="4"/>
        <v/>
      </c>
      <c r="G66" s="102" t="str">
        <f t="shared" si="5"/>
        <v/>
      </c>
      <c r="H66" s="162"/>
      <c r="I66" s="162"/>
      <c r="J66" s="163"/>
      <c r="K66" s="163"/>
      <c r="L66" s="163"/>
      <c r="M66" s="163"/>
      <c r="N66" s="163"/>
      <c r="O66" s="835"/>
      <c r="P66" s="835"/>
      <c r="Q66" s="162"/>
      <c r="R66" s="162"/>
      <c r="S66" s="162"/>
      <c r="T66" s="162"/>
      <c r="U66" s="162"/>
      <c r="V66" s="162"/>
      <c r="W66" s="162"/>
      <c r="X66" s="162"/>
      <c r="Y66" s="162"/>
      <c r="Z66" s="162"/>
      <c r="AA66" s="162"/>
      <c r="AB66" s="162"/>
      <c r="AC66" s="162"/>
      <c r="AD66" s="162"/>
    </row>
    <row r="67" spans="1:30">
      <c r="A67" s="93"/>
      <c r="B67" s="28"/>
      <c r="C67" s="211"/>
      <c r="D67" s="73"/>
      <c r="E67" s="2" t="str">
        <f t="shared" si="3"/>
        <v/>
      </c>
      <c r="F67" s="89" t="str">
        <f t="shared" si="4"/>
        <v/>
      </c>
      <c r="G67" s="102" t="str">
        <f t="shared" si="5"/>
        <v/>
      </c>
      <c r="H67" s="162"/>
      <c r="I67" s="162"/>
      <c r="J67" s="163"/>
      <c r="K67" s="163"/>
      <c r="L67" s="163"/>
      <c r="M67" s="163"/>
      <c r="N67" s="163"/>
      <c r="O67" s="835"/>
      <c r="P67" s="835"/>
      <c r="Q67" s="162"/>
      <c r="R67" s="162"/>
      <c r="S67" s="162"/>
      <c r="T67" s="162"/>
      <c r="U67" s="162"/>
      <c r="V67" s="162"/>
      <c r="W67" s="162"/>
      <c r="X67" s="162"/>
      <c r="Y67" s="162"/>
      <c r="Z67" s="162"/>
      <c r="AA67" s="162"/>
      <c r="AB67" s="162"/>
      <c r="AC67" s="162"/>
      <c r="AD67" s="162"/>
    </row>
    <row r="68" spans="1:30">
      <c r="A68" s="93"/>
      <c r="B68" s="28"/>
      <c r="C68" s="211"/>
      <c r="D68" s="75"/>
      <c r="E68" s="2" t="str">
        <f t="shared" si="3"/>
        <v/>
      </c>
      <c r="F68" s="89" t="str">
        <f t="shared" si="4"/>
        <v/>
      </c>
      <c r="G68" s="102" t="str">
        <f t="shared" si="5"/>
        <v/>
      </c>
      <c r="H68" s="162"/>
      <c r="I68" s="162"/>
      <c r="J68" s="163"/>
      <c r="K68" s="163"/>
      <c r="L68" s="163"/>
      <c r="M68" s="163"/>
      <c r="N68" s="163"/>
      <c r="O68" s="162"/>
      <c r="P68" s="162"/>
      <c r="Q68" s="162"/>
      <c r="R68" s="162"/>
      <c r="S68" s="162"/>
      <c r="T68" s="162"/>
      <c r="U68" s="162"/>
      <c r="V68" s="162"/>
      <c r="W68" s="162"/>
      <c r="X68" s="162"/>
      <c r="Y68" s="162"/>
      <c r="Z68" s="162"/>
      <c r="AA68" s="162"/>
      <c r="AB68" s="162"/>
      <c r="AC68" s="162"/>
      <c r="AD68" s="162"/>
    </row>
    <row r="69" spans="1:30">
      <c r="A69" s="93"/>
      <c r="B69" s="28"/>
      <c r="C69" s="211"/>
      <c r="D69" s="173"/>
      <c r="E69" s="2" t="str">
        <f t="shared" si="3"/>
        <v/>
      </c>
      <c r="F69" s="89" t="str">
        <f t="shared" si="4"/>
        <v/>
      </c>
      <c r="G69" s="102" t="str">
        <f t="shared" si="5"/>
        <v/>
      </c>
      <c r="H69" s="162"/>
      <c r="I69" s="162"/>
      <c r="J69" s="163"/>
      <c r="K69" s="163"/>
      <c r="L69" s="163"/>
      <c r="M69" s="163"/>
      <c r="N69" s="163"/>
      <c r="O69" s="162"/>
      <c r="P69" s="162"/>
      <c r="Q69" s="162"/>
      <c r="R69" s="162"/>
      <c r="S69" s="162"/>
      <c r="T69" s="162"/>
      <c r="U69" s="162"/>
      <c r="V69" s="162"/>
      <c r="W69" s="162"/>
      <c r="X69" s="162"/>
      <c r="Y69" s="162"/>
      <c r="Z69" s="162"/>
      <c r="AA69" s="162"/>
      <c r="AB69" s="162"/>
      <c r="AC69" s="162"/>
      <c r="AD69" s="162"/>
    </row>
    <row r="70" spans="1:30">
      <c r="A70" s="93"/>
      <c r="B70" s="28"/>
      <c r="C70" s="211"/>
      <c r="D70" s="75"/>
      <c r="E70" s="2" t="str">
        <f t="shared" si="3"/>
        <v/>
      </c>
      <c r="F70" s="89" t="str">
        <f t="shared" si="4"/>
        <v/>
      </c>
      <c r="G70" s="102" t="str">
        <f t="shared" si="5"/>
        <v/>
      </c>
      <c r="H70" s="162"/>
      <c r="I70" s="162"/>
      <c r="J70" s="163"/>
      <c r="K70" s="163"/>
      <c r="L70" s="163"/>
      <c r="M70" s="163"/>
      <c r="N70" s="163"/>
      <c r="O70" s="162"/>
      <c r="P70" s="162"/>
      <c r="Q70" s="162"/>
      <c r="R70" s="162"/>
      <c r="S70" s="162"/>
      <c r="T70" s="162"/>
      <c r="U70" s="162"/>
      <c r="V70" s="162"/>
      <c r="W70" s="162"/>
      <c r="X70" s="162"/>
      <c r="Y70" s="162"/>
      <c r="Z70" s="162"/>
      <c r="AA70" s="162"/>
      <c r="AB70" s="162"/>
      <c r="AC70" s="162"/>
      <c r="AD70" s="162"/>
    </row>
    <row r="71" spans="1:30">
      <c r="A71" s="93"/>
      <c r="B71" s="28"/>
      <c r="C71" s="211"/>
      <c r="D71" s="173"/>
      <c r="E71" s="2" t="str">
        <f t="shared" si="3"/>
        <v/>
      </c>
      <c r="F71" s="89" t="str">
        <f t="shared" si="4"/>
        <v/>
      </c>
      <c r="G71" s="102" t="str">
        <f t="shared" si="5"/>
        <v/>
      </c>
      <c r="H71" s="162"/>
      <c r="I71" s="162"/>
      <c r="J71" s="163"/>
      <c r="K71" s="163"/>
      <c r="L71" s="163"/>
      <c r="M71" s="163"/>
      <c r="N71" s="163"/>
      <c r="O71" s="162"/>
      <c r="P71" s="162"/>
      <c r="Q71" s="162"/>
      <c r="R71" s="162"/>
      <c r="S71" s="162"/>
      <c r="T71" s="162"/>
      <c r="U71" s="162"/>
      <c r="V71" s="162"/>
      <c r="W71" s="162"/>
      <c r="X71" s="162"/>
      <c r="Y71" s="162"/>
      <c r="Z71" s="162"/>
      <c r="AA71" s="162"/>
      <c r="AB71" s="162"/>
      <c r="AC71" s="162"/>
      <c r="AD71" s="162"/>
    </row>
    <row r="72" spans="1:30">
      <c r="A72" s="93"/>
      <c r="B72" s="28"/>
      <c r="C72" s="211"/>
      <c r="D72" s="75"/>
      <c r="E72" s="2" t="str">
        <f t="shared" si="3"/>
        <v/>
      </c>
      <c r="F72" s="89" t="str">
        <f t="shared" si="4"/>
        <v/>
      </c>
      <c r="G72" s="102" t="str">
        <f t="shared" si="5"/>
        <v/>
      </c>
      <c r="H72" s="162"/>
      <c r="I72" s="162"/>
      <c r="J72" s="162"/>
      <c r="K72" s="162"/>
      <c r="L72" s="162"/>
      <c r="M72" s="163"/>
      <c r="N72" s="163"/>
      <c r="O72" s="162"/>
      <c r="P72" s="162"/>
      <c r="Q72" s="162"/>
      <c r="R72" s="162"/>
      <c r="S72" s="162"/>
      <c r="T72" s="162"/>
      <c r="U72" s="162"/>
      <c r="V72" s="162"/>
      <c r="W72" s="162"/>
      <c r="X72" s="162"/>
      <c r="Y72" s="162"/>
      <c r="Z72" s="162"/>
      <c r="AA72" s="162"/>
      <c r="AB72" s="162"/>
      <c r="AC72" s="162"/>
      <c r="AD72" s="162"/>
    </row>
    <row r="73" spans="1:30">
      <c r="A73" s="93"/>
      <c r="B73" s="28"/>
      <c r="C73" s="211"/>
      <c r="D73" s="173"/>
      <c r="E73" s="2" t="str">
        <f t="shared" si="3"/>
        <v/>
      </c>
      <c r="F73" s="89" t="str">
        <f t="shared" si="4"/>
        <v/>
      </c>
      <c r="G73" s="102" t="str">
        <f t="shared" si="5"/>
        <v/>
      </c>
      <c r="H73" s="162"/>
      <c r="I73" s="162"/>
      <c r="J73" s="162"/>
      <c r="K73" s="162"/>
      <c r="L73" s="162"/>
      <c r="M73" s="163"/>
      <c r="N73" s="163"/>
      <c r="O73" s="162"/>
      <c r="P73" s="162"/>
      <c r="Q73" s="162"/>
      <c r="R73" s="162"/>
      <c r="S73" s="162"/>
      <c r="T73" s="162"/>
      <c r="U73" s="162"/>
      <c r="V73" s="162"/>
      <c r="W73" s="162"/>
      <c r="X73" s="162"/>
      <c r="Y73" s="162"/>
      <c r="Z73" s="162"/>
      <c r="AA73" s="162"/>
      <c r="AB73" s="162"/>
      <c r="AC73" s="162"/>
      <c r="AD73" s="162"/>
    </row>
    <row r="74" spans="1:30">
      <c r="A74" s="93"/>
      <c r="B74" s="28"/>
      <c r="C74" s="211"/>
      <c r="D74" s="75"/>
      <c r="E74" s="2" t="str">
        <f t="shared" si="3"/>
        <v/>
      </c>
      <c r="F74" s="89" t="str">
        <f t="shared" si="4"/>
        <v/>
      </c>
      <c r="G74" s="102" t="str">
        <f t="shared" si="5"/>
        <v/>
      </c>
      <c r="H74" s="162"/>
      <c r="I74" s="162"/>
      <c r="J74" s="162"/>
      <c r="K74" s="162"/>
      <c r="L74" s="162"/>
      <c r="M74" s="163"/>
      <c r="N74" s="163"/>
      <c r="O74" s="162"/>
      <c r="P74" s="162"/>
      <c r="Q74" s="162"/>
      <c r="R74" s="162"/>
      <c r="S74" s="162"/>
      <c r="T74" s="162"/>
      <c r="U74" s="162"/>
      <c r="V74" s="162"/>
      <c r="W74" s="162"/>
      <c r="X74" s="162"/>
      <c r="Y74" s="162"/>
      <c r="Z74" s="162"/>
      <c r="AA74" s="162"/>
      <c r="AB74" s="162"/>
      <c r="AC74" s="162"/>
      <c r="AD74" s="162"/>
    </row>
    <row r="75" spans="1:30">
      <c r="A75" s="93"/>
      <c r="B75" s="28"/>
      <c r="C75" s="211"/>
      <c r="D75" s="173"/>
      <c r="E75" s="2" t="str">
        <f t="shared" si="3"/>
        <v/>
      </c>
      <c r="F75" s="89" t="str">
        <f t="shared" si="4"/>
        <v/>
      </c>
      <c r="G75" s="102" t="str">
        <f t="shared" si="5"/>
        <v/>
      </c>
      <c r="H75" s="162"/>
      <c r="I75" s="162"/>
      <c r="J75" s="162"/>
      <c r="K75" s="162"/>
      <c r="L75" s="162"/>
      <c r="M75" s="163"/>
      <c r="N75" s="163"/>
      <c r="O75" s="162"/>
      <c r="P75" s="162"/>
      <c r="Q75" s="162"/>
      <c r="R75" s="162"/>
      <c r="S75" s="162"/>
      <c r="T75" s="162"/>
      <c r="U75" s="162"/>
      <c r="V75" s="162"/>
      <c r="W75" s="162"/>
      <c r="X75" s="162"/>
      <c r="Y75" s="162"/>
      <c r="Z75" s="162"/>
      <c r="AA75" s="162"/>
      <c r="AB75" s="162"/>
      <c r="AC75" s="162"/>
      <c r="AD75" s="162"/>
    </row>
    <row r="76" spans="1:30">
      <c r="A76" s="93"/>
      <c r="B76" s="28"/>
      <c r="C76" s="211"/>
      <c r="D76" s="75"/>
      <c r="E76" s="2" t="str">
        <f t="shared" si="3"/>
        <v/>
      </c>
      <c r="F76" s="89" t="str">
        <f t="shared" si="4"/>
        <v/>
      </c>
      <c r="G76" s="102" t="str">
        <f t="shared" si="5"/>
        <v/>
      </c>
      <c r="H76" s="162"/>
      <c r="I76" s="162"/>
      <c r="J76" s="162"/>
      <c r="K76" s="162"/>
      <c r="L76" s="162"/>
      <c r="M76" s="163"/>
      <c r="N76" s="163"/>
      <c r="O76" s="162"/>
      <c r="P76" s="162"/>
      <c r="Q76" s="162"/>
      <c r="R76" s="162"/>
      <c r="S76" s="162"/>
      <c r="T76" s="162"/>
      <c r="U76" s="162"/>
      <c r="V76" s="162"/>
      <c r="W76" s="162"/>
      <c r="X76" s="162"/>
      <c r="Y76" s="162"/>
      <c r="Z76" s="162"/>
      <c r="AA76" s="162"/>
      <c r="AB76" s="162"/>
      <c r="AC76" s="162"/>
      <c r="AD76" s="162"/>
    </row>
    <row r="77" spans="1:30">
      <c r="A77" s="93"/>
      <c r="B77" s="28"/>
      <c r="C77" s="211"/>
      <c r="D77" s="173"/>
      <c r="E77" s="2" t="str">
        <f t="shared" si="3"/>
        <v/>
      </c>
      <c r="F77" s="89" t="str">
        <f t="shared" si="4"/>
        <v/>
      </c>
      <c r="G77" s="102" t="str">
        <f t="shared" si="5"/>
        <v/>
      </c>
      <c r="H77" s="162"/>
      <c r="I77" s="162"/>
      <c r="J77" s="162"/>
      <c r="K77" s="162"/>
      <c r="L77" s="162"/>
      <c r="M77" s="163"/>
      <c r="N77" s="163"/>
      <c r="O77" s="162"/>
      <c r="P77" s="162"/>
      <c r="Q77" s="162"/>
      <c r="R77" s="162"/>
      <c r="S77" s="162"/>
      <c r="T77" s="162"/>
      <c r="U77" s="162"/>
      <c r="V77" s="162"/>
      <c r="W77" s="162"/>
      <c r="X77" s="162"/>
      <c r="Y77" s="162"/>
      <c r="Z77" s="162"/>
      <c r="AA77" s="162"/>
      <c r="AB77" s="162"/>
      <c r="AC77" s="162"/>
      <c r="AD77" s="162"/>
    </row>
    <row r="78" spans="1:30">
      <c r="A78" s="93"/>
      <c r="B78" s="28"/>
      <c r="C78" s="211"/>
      <c r="D78" s="75"/>
      <c r="E78" s="2" t="str">
        <f t="shared" si="3"/>
        <v/>
      </c>
      <c r="F78" s="89" t="str">
        <f t="shared" si="4"/>
        <v/>
      </c>
      <c r="G78" s="102" t="str">
        <f t="shared" si="5"/>
        <v/>
      </c>
      <c r="H78" s="162"/>
      <c r="I78" s="162"/>
      <c r="J78" s="162"/>
      <c r="K78" s="162"/>
      <c r="L78" s="162"/>
      <c r="M78" s="163"/>
      <c r="N78" s="163"/>
      <c r="O78" s="162"/>
      <c r="P78" s="162"/>
      <c r="Q78" s="162"/>
      <c r="R78" s="162"/>
      <c r="S78" s="162"/>
      <c r="T78" s="162"/>
      <c r="U78" s="162"/>
      <c r="V78" s="162"/>
      <c r="W78" s="162"/>
      <c r="X78" s="162"/>
      <c r="Y78" s="162"/>
      <c r="Z78" s="162"/>
      <c r="AA78" s="162"/>
      <c r="AB78" s="162"/>
      <c r="AC78" s="162"/>
      <c r="AD78" s="162"/>
    </row>
    <row r="79" spans="1:30">
      <c r="A79" s="93"/>
      <c r="B79" s="28"/>
      <c r="C79" s="211"/>
      <c r="D79" s="173"/>
      <c r="E79" s="2" t="str">
        <f t="shared" si="3"/>
        <v/>
      </c>
      <c r="F79" s="89" t="str">
        <f t="shared" si="4"/>
        <v/>
      </c>
      <c r="G79" s="102" t="str">
        <f t="shared" si="5"/>
        <v/>
      </c>
      <c r="H79" s="162"/>
      <c r="I79" s="162"/>
      <c r="J79" s="162"/>
      <c r="K79" s="162"/>
      <c r="L79" s="162"/>
      <c r="M79" s="163"/>
      <c r="N79" s="163"/>
      <c r="O79" s="162"/>
      <c r="P79" s="162"/>
      <c r="Q79" s="162"/>
      <c r="R79" s="162"/>
      <c r="S79" s="162"/>
      <c r="T79" s="162"/>
      <c r="U79" s="162"/>
      <c r="V79" s="162"/>
      <c r="W79" s="162"/>
      <c r="X79" s="162"/>
      <c r="Y79" s="162"/>
      <c r="Z79" s="162"/>
      <c r="AA79" s="162"/>
      <c r="AB79" s="162"/>
      <c r="AC79" s="162"/>
      <c r="AD79" s="162"/>
    </row>
    <row r="80" spans="1:30">
      <c r="A80" s="93"/>
      <c r="B80" s="28"/>
      <c r="C80" s="211"/>
      <c r="D80" s="75"/>
      <c r="E80" s="2" t="str">
        <f t="shared" si="3"/>
        <v/>
      </c>
      <c r="F80" s="89" t="str">
        <f t="shared" si="4"/>
        <v/>
      </c>
      <c r="G80" s="102" t="str">
        <f t="shared" si="5"/>
        <v/>
      </c>
      <c r="H80" s="162"/>
      <c r="I80" s="162"/>
      <c r="J80" s="162"/>
      <c r="K80" s="162"/>
      <c r="L80" s="162"/>
      <c r="M80" s="163"/>
      <c r="N80" s="163"/>
      <c r="O80" s="162"/>
      <c r="P80" s="162"/>
      <c r="Q80" s="162"/>
      <c r="R80" s="162"/>
      <c r="S80" s="162"/>
      <c r="T80" s="162"/>
      <c r="U80" s="162"/>
      <c r="V80" s="162"/>
      <c r="W80" s="162"/>
      <c r="X80" s="162"/>
      <c r="Y80" s="162"/>
      <c r="Z80" s="162"/>
      <c r="AA80" s="162"/>
      <c r="AB80" s="162"/>
      <c r="AC80" s="162"/>
      <c r="AD80" s="162"/>
    </row>
    <row r="81" spans="1:30">
      <c r="A81" s="93"/>
      <c r="B81" s="28"/>
      <c r="C81" s="211"/>
      <c r="D81" s="173"/>
      <c r="E81" s="2" t="str">
        <f t="shared" si="3"/>
        <v/>
      </c>
      <c r="F81" s="89" t="str">
        <f t="shared" si="4"/>
        <v/>
      </c>
      <c r="G81" s="102" t="str">
        <f t="shared" si="5"/>
        <v/>
      </c>
      <c r="H81" s="162"/>
      <c r="I81" s="162"/>
      <c r="J81" s="162"/>
      <c r="K81" s="162"/>
      <c r="L81" s="162"/>
      <c r="M81" s="163"/>
      <c r="N81" s="163"/>
      <c r="O81" s="162"/>
      <c r="P81" s="162"/>
      <c r="Q81" s="162"/>
      <c r="R81" s="162"/>
      <c r="S81" s="162"/>
      <c r="T81" s="162"/>
      <c r="U81" s="162"/>
      <c r="V81" s="162"/>
      <c r="W81" s="162"/>
      <c r="X81" s="162"/>
      <c r="Y81" s="162"/>
      <c r="Z81" s="162"/>
      <c r="AA81" s="162"/>
      <c r="AB81" s="162"/>
      <c r="AC81" s="162"/>
      <c r="AD81" s="162"/>
    </row>
    <row r="82" spans="1:30">
      <c r="A82" s="93"/>
      <c r="B82" s="28"/>
      <c r="C82" s="211"/>
      <c r="D82" s="75"/>
      <c r="E82" s="2" t="str">
        <f t="shared" si="3"/>
        <v/>
      </c>
      <c r="F82" s="89" t="str">
        <f t="shared" si="4"/>
        <v/>
      </c>
      <c r="G82" s="102" t="str">
        <f t="shared" si="5"/>
        <v/>
      </c>
      <c r="H82" s="162"/>
      <c r="I82" s="162"/>
      <c r="J82" s="162"/>
      <c r="K82" s="162"/>
      <c r="L82" s="162"/>
      <c r="M82" s="163"/>
      <c r="N82" s="163"/>
      <c r="O82" s="162"/>
      <c r="P82" s="162"/>
      <c r="Q82" s="162"/>
      <c r="R82" s="162"/>
      <c r="S82" s="162"/>
      <c r="T82" s="162"/>
      <c r="U82" s="162"/>
      <c r="V82" s="162"/>
      <c r="W82" s="162"/>
      <c r="X82" s="162"/>
      <c r="Y82" s="162"/>
      <c r="Z82" s="162"/>
      <c r="AA82" s="162"/>
      <c r="AB82" s="162"/>
      <c r="AC82" s="162"/>
      <c r="AD82" s="162"/>
    </row>
    <row r="83" spans="1:30">
      <c r="A83" s="93"/>
      <c r="B83" s="28"/>
      <c r="C83" s="211"/>
      <c r="D83" s="173"/>
      <c r="E83" s="2" t="str">
        <f t="shared" si="3"/>
        <v/>
      </c>
      <c r="F83" s="89" t="str">
        <f t="shared" si="4"/>
        <v/>
      </c>
      <c r="G83" s="102" t="str">
        <f t="shared" si="5"/>
        <v/>
      </c>
      <c r="H83" s="162"/>
      <c r="I83" s="162"/>
      <c r="J83" s="162"/>
      <c r="K83" s="183"/>
      <c r="L83" s="162"/>
      <c r="M83" s="163"/>
      <c r="N83" s="163"/>
      <c r="O83" s="162"/>
      <c r="P83" s="162"/>
      <c r="Q83" s="162"/>
      <c r="R83" s="162"/>
      <c r="S83" s="162"/>
      <c r="T83" s="162"/>
      <c r="U83" s="162"/>
      <c r="V83" s="162"/>
      <c r="W83" s="162"/>
      <c r="X83" s="162"/>
      <c r="Y83" s="162"/>
      <c r="Z83" s="162"/>
      <c r="AA83" s="162"/>
      <c r="AB83" s="162"/>
      <c r="AC83" s="162"/>
      <c r="AD83" s="162"/>
    </row>
    <row r="84" spans="1:30">
      <c r="A84" s="93"/>
      <c r="B84" s="28"/>
      <c r="C84" s="211"/>
      <c r="D84" s="75"/>
      <c r="E84" s="2" t="str">
        <f t="shared" si="3"/>
        <v/>
      </c>
      <c r="F84" s="89" t="str">
        <f t="shared" si="4"/>
        <v/>
      </c>
      <c r="G84" s="102" t="str">
        <f t="shared" si="5"/>
        <v/>
      </c>
      <c r="H84" s="162"/>
      <c r="I84" s="162"/>
      <c r="J84" s="162"/>
      <c r="K84" s="162"/>
      <c r="L84" s="162"/>
      <c r="M84" s="163"/>
      <c r="N84" s="163"/>
      <c r="O84" s="162"/>
      <c r="P84" s="162"/>
      <c r="Q84" s="162"/>
      <c r="R84" s="162"/>
      <c r="S84" s="162"/>
      <c r="T84" s="162"/>
      <c r="U84" s="162"/>
      <c r="V84" s="162"/>
      <c r="W84" s="162"/>
      <c r="X84" s="162"/>
      <c r="Y84" s="162"/>
      <c r="Z84" s="162"/>
      <c r="AA84" s="162"/>
      <c r="AB84" s="162"/>
      <c r="AC84" s="162"/>
      <c r="AD84" s="162"/>
    </row>
    <row r="85" spans="1:30">
      <c r="A85" s="93"/>
      <c r="B85" s="28"/>
      <c r="C85" s="211"/>
      <c r="D85" s="173"/>
      <c r="E85" s="2" t="str">
        <f t="shared" si="3"/>
        <v/>
      </c>
      <c r="F85" s="89" t="str">
        <f t="shared" si="4"/>
        <v/>
      </c>
      <c r="G85" s="102" t="str">
        <f t="shared" si="5"/>
        <v/>
      </c>
      <c r="H85" s="162"/>
      <c r="I85" s="162"/>
      <c r="J85" s="162"/>
      <c r="K85" s="162"/>
      <c r="L85" s="162"/>
      <c r="M85" s="163"/>
      <c r="N85" s="163"/>
      <c r="O85" s="162"/>
      <c r="P85" s="162"/>
      <c r="Q85" s="162"/>
      <c r="R85" s="162"/>
      <c r="S85" s="162"/>
      <c r="T85" s="162"/>
      <c r="U85" s="162"/>
      <c r="V85" s="162"/>
      <c r="W85" s="162"/>
      <c r="X85" s="162"/>
      <c r="Y85" s="162"/>
      <c r="Z85" s="162"/>
      <c r="AA85" s="162"/>
      <c r="AB85" s="162"/>
      <c r="AC85" s="162"/>
      <c r="AD85" s="162"/>
    </row>
    <row r="86" spans="1:30">
      <c r="A86" s="93"/>
      <c r="B86" s="28"/>
      <c r="C86" s="211"/>
      <c r="D86" s="75"/>
      <c r="E86" s="2" t="str">
        <f t="shared" si="3"/>
        <v/>
      </c>
      <c r="F86" s="89" t="str">
        <f t="shared" si="4"/>
        <v/>
      </c>
      <c r="G86" s="102" t="str">
        <f t="shared" si="5"/>
        <v/>
      </c>
      <c r="H86" s="162"/>
      <c r="I86" s="162"/>
      <c r="J86" s="162"/>
      <c r="K86" s="162"/>
      <c r="L86" s="162"/>
      <c r="M86" s="163"/>
      <c r="N86" s="163"/>
      <c r="O86" s="162"/>
      <c r="P86" s="162"/>
      <c r="Q86" s="162"/>
      <c r="R86" s="162"/>
      <c r="S86" s="162"/>
      <c r="T86" s="162"/>
      <c r="U86" s="162"/>
      <c r="V86" s="162"/>
      <c r="W86" s="162"/>
      <c r="X86" s="162"/>
      <c r="Y86" s="162"/>
      <c r="Z86" s="162"/>
      <c r="AA86" s="162"/>
      <c r="AB86" s="162"/>
      <c r="AC86" s="162"/>
      <c r="AD86" s="162"/>
    </row>
    <row r="87" spans="1:30">
      <c r="A87" s="93"/>
      <c r="B87" s="28"/>
      <c r="C87" s="28"/>
      <c r="D87" s="75"/>
      <c r="E87" s="2" t="str">
        <f t="shared" si="3"/>
        <v/>
      </c>
      <c r="F87" s="89" t="str">
        <f t="shared" si="4"/>
        <v/>
      </c>
      <c r="G87" s="102" t="str">
        <f t="shared" si="5"/>
        <v/>
      </c>
      <c r="H87" s="162"/>
      <c r="I87" s="162"/>
      <c r="J87" s="162"/>
      <c r="K87" s="162"/>
      <c r="L87" s="162"/>
      <c r="M87" s="163"/>
      <c r="N87" s="163"/>
      <c r="O87" s="162"/>
      <c r="P87" s="162"/>
      <c r="Q87" s="162"/>
      <c r="R87" s="162"/>
      <c r="S87" s="162"/>
      <c r="T87" s="162"/>
      <c r="U87" s="162"/>
      <c r="V87" s="162"/>
      <c r="W87" s="162"/>
      <c r="X87" s="162"/>
      <c r="Y87" s="162"/>
      <c r="Z87" s="162"/>
      <c r="AA87" s="162"/>
      <c r="AB87" s="162"/>
      <c r="AC87" s="162"/>
      <c r="AD87" s="162"/>
    </row>
    <row r="88" spans="1:30">
      <c r="A88" s="93"/>
      <c r="B88" s="28"/>
      <c r="C88" s="28"/>
      <c r="D88" s="75"/>
      <c r="E88" s="2" t="str">
        <f t="shared" si="3"/>
        <v/>
      </c>
      <c r="F88" s="89" t="str">
        <f t="shared" si="4"/>
        <v/>
      </c>
      <c r="G88" s="102" t="str">
        <f t="shared" si="5"/>
        <v/>
      </c>
      <c r="H88" s="162"/>
      <c r="I88" s="162"/>
      <c r="J88" s="162"/>
      <c r="K88" s="162"/>
      <c r="L88" s="162"/>
      <c r="M88" s="163"/>
      <c r="N88" s="163"/>
      <c r="O88" s="162"/>
      <c r="P88" s="162"/>
      <c r="Q88" s="162"/>
      <c r="R88" s="162"/>
      <c r="S88" s="162"/>
      <c r="T88" s="162"/>
      <c r="U88" s="162"/>
      <c r="V88" s="162"/>
      <c r="W88" s="162"/>
      <c r="X88" s="162"/>
      <c r="Y88" s="162"/>
      <c r="Z88" s="162"/>
      <c r="AA88" s="162"/>
      <c r="AB88" s="162"/>
      <c r="AC88" s="162"/>
      <c r="AD88" s="162"/>
    </row>
    <row r="89" spans="1:30">
      <c r="A89" s="93"/>
      <c r="B89" s="28"/>
      <c r="C89" s="28"/>
      <c r="D89" s="75"/>
      <c r="E89" s="2" t="str">
        <f t="shared" si="3"/>
        <v/>
      </c>
      <c r="F89" s="89" t="str">
        <f t="shared" si="4"/>
        <v/>
      </c>
      <c r="G89" s="102" t="str">
        <f t="shared" si="5"/>
        <v/>
      </c>
      <c r="H89" s="162"/>
      <c r="I89" s="162"/>
      <c r="J89" s="162"/>
      <c r="K89" s="162"/>
      <c r="L89" s="162"/>
      <c r="M89" s="163"/>
      <c r="N89" s="163"/>
      <c r="O89" s="162"/>
      <c r="P89" s="162"/>
      <c r="Q89" s="162"/>
      <c r="R89" s="162"/>
      <c r="S89" s="162"/>
      <c r="T89" s="162"/>
      <c r="U89" s="162"/>
      <c r="V89" s="162"/>
      <c r="W89" s="162"/>
      <c r="X89" s="162"/>
      <c r="Y89" s="162"/>
      <c r="Z89" s="162"/>
      <c r="AA89" s="162"/>
      <c r="AB89" s="162"/>
      <c r="AC89" s="162"/>
      <c r="AD89" s="162"/>
    </row>
    <row r="90" spans="1:30">
      <c r="A90" s="93"/>
      <c r="B90" s="28"/>
      <c r="C90" s="28"/>
      <c r="D90" s="75"/>
      <c r="E90" s="2" t="str">
        <f t="shared" si="3"/>
        <v/>
      </c>
      <c r="F90" s="89" t="str">
        <f t="shared" si="4"/>
        <v/>
      </c>
      <c r="G90" s="102" t="str">
        <f t="shared" si="5"/>
        <v/>
      </c>
      <c r="H90" s="162"/>
      <c r="I90" s="162"/>
      <c r="J90" s="162"/>
      <c r="K90" s="162"/>
      <c r="L90" s="162"/>
      <c r="M90" s="163"/>
      <c r="N90" s="163"/>
      <c r="O90" s="162"/>
      <c r="P90" s="162"/>
      <c r="Q90" s="162"/>
      <c r="R90" s="162"/>
      <c r="S90" s="162"/>
      <c r="T90" s="162"/>
      <c r="U90" s="162"/>
      <c r="V90" s="162"/>
      <c r="W90" s="162"/>
      <c r="X90" s="162"/>
      <c r="Y90" s="162"/>
      <c r="Z90" s="162"/>
      <c r="AA90" s="162"/>
      <c r="AB90" s="162"/>
      <c r="AC90" s="162"/>
      <c r="AD90" s="162"/>
    </row>
    <row r="91" spans="1:30">
      <c r="A91" s="93"/>
      <c r="B91" s="28"/>
      <c r="C91" s="28"/>
      <c r="D91" s="75"/>
      <c r="E91" s="2" t="str">
        <f t="shared" si="3"/>
        <v/>
      </c>
      <c r="F91" s="89" t="str">
        <f t="shared" si="4"/>
        <v/>
      </c>
      <c r="G91" s="102" t="str">
        <f t="shared" si="5"/>
        <v/>
      </c>
      <c r="H91" s="162"/>
      <c r="I91" s="162"/>
      <c r="J91" s="162"/>
      <c r="K91" s="162"/>
      <c r="L91" s="162"/>
      <c r="M91" s="163"/>
      <c r="N91" s="163"/>
      <c r="O91" s="162"/>
      <c r="P91" s="162"/>
      <c r="Q91" s="162"/>
      <c r="R91" s="162"/>
      <c r="S91" s="162"/>
      <c r="T91" s="162"/>
      <c r="U91" s="162"/>
      <c r="V91" s="162"/>
      <c r="W91" s="162"/>
      <c r="X91" s="162"/>
      <c r="Y91" s="162"/>
      <c r="Z91" s="162"/>
      <c r="AA91" s="162"/>
      <c r="AB91" s="162"/>
      <c r="AC91" s="162"/>
      <c r="AD91" s="162"/>
    </row>
    <row r="92" spans="1:30">
      <c r="A92" s="93"/>
      <c r="B92" s="28"/>
      <c r="C92" s="28"/>
      <c r="D92" s="75"/>
      <c r="E92" s="2" t="str">
        <f t="shared" si="3"/>
        <v/>
      </c>
      <c r="F92" s="89" t="str">
        <f t="shared" si="4"/>
        <v/>
      </c>
      <c r="G92" s="102" t="str">
        <f t="shared" si="5"/>
        <v/>
      </c>
      <c r="H92" s="162"/>
      <c r="I92" s="162"/>
      <c r="J92" s="162"/>
      <c r="K92" s="162"/>
      <c r="L92" s="162"/>
      <c r="M92" s="163"/>
      <c r="N92" s="163"/>
      <c r="O92" s="162"/>
      <c r="P92" s="162"/>
      <c r="Q92" s="162"/>
      <c r="R92" s="162"/>
      <c r="S92" s="162"/>
      <c r="T92" s="162"/>
      <c r="U92" s="162"/>
      <c r="V92" s="162"/>
      <c r="W92" s="162"/>
      <c r="X92" s="162"/>
      <c r="Y92" s="162"/>
      <c r="Z92" s="162"/>
      <c r="AA92" s="162"/>
      <c r="AB92" s="162"/>
      <c r="AC92" s="162"/>
      <c r="AD92" s="162"/>
    </row>
    <row r="93" spans="1:30">
      <c r="A93" s="93"/>
      <c r="B93" s="28"/>
      <c r="C93" s="28"/>
      <c r="D93" s="75"/>
      <c r="E93" s="2" t="str">
        <f t="shared" si="3"/>
        <v/>
      </c>
      <c r="F93" s="89" t="str">
        <f t="shared" si="4"/>
        <v/>
      </c>
      <c r="G93" s="102" t="str">
        <f t="shared" si="5"/>
        <v/>
      </c>
      <c r="H93" s="162"/>
      <c r="I93" s="162"/>
      <c r="J93" s="162"/>
      <c r="K93" s="162"/>
      <c r="L93" s="162"/>
      <c r="M93" s="163"/>
      <c r="N93" s="163"/>
      <c r="O93" s="162"/>
      <c r="P93" s="162"/>
      <c r="Q93" s="162"/>
      <c r="R93" s="162"/>
      <c r="S93" s="162"/>
      <c r="T93" s="162"/>
      <c r="U93" s="162"/>
      <c r="V93" s="162"/>
      <c r="W93" s="162"/>
      <c r="X93" s="162"/>
      <c r="Y93" s="162"/>
      <c r="Z93" s="162"/>
      <c r="AA93" s="162"/>
      <c r="AB93" s="162"/>
      <c r="AC93" s="162"/>
      <c r="AD93" s="162"/>
    </row>
    <row r="94" spans="1:30">
      <c r="A94" s="93"/>
      <c r="B94" s="28"/>
      <c r="C94" s="28"/>
      <c r="D94" s="75"/>
      <c r="E94" s="2" t="str">
        <f t="shared" si="3"/>
        <v/>
      </c>
      <c r="F94" s="89" t="str">
        <f t="shared" si="4"/>
        <v/>
      </c>
      <c r="G94" s="102" t="str">
        <f t="shared" si="5"/>
        <v/>
      </c>
      <c r="H94" s="162"/>
      <c r="I94" s="162"/>
      <c r="J94" s="162"/>
      <c r="K94" s="162"/>
      <c r="L94" s="162"/>
      <c r="M94" s="163"/>
      <c r="N94" s="163"/>
      <c r="O94" s="162"/>
      <c r="P94" s="162"/>
      <c r="Q94" s="162"/>
      <c r="R94" s="162"/>
      <c r="S94" s="162"/>
      <c r="T94" s="162"/>
      <c r="U94" s="162"/>
      <c r="V94" s="162"/>
      <c r="W94" s="162"/>
      <c r="X94" s="162"/>
      <c r="Y94" s="162"/>
      <c r="Z94" s="162"/>
      <c r="AA94" s="162"/>
      <c r="AB94" s="162"/>
      <c r="AC94" s="162"/>
      <c r="AD94" s="162"/>
    </row>
    <row r="95" spans="1:30">
      <c r="A95" s="93"/>
      <c r="B95" s="28"/>
      <c r="C95" s="28"/>
      <c r="D95" s="75"/>
      <c r="E95" s="2" t="str">
        <f t="shared" si="3"/>
        <v/>
      </c>
      <c r="F95" s="89" t="str">
        <f t="shared" si="4"/>
        <v/>
      </c>
      <c r="G95" s="102" t="str">
        <f t="shared" si="5"/>
        <v/>
      </c>
      <c r="H95" s="162"/>
      <c r="I95" s="162"/>
      <c r="J95" s="162"/>
      <c r="K95" s="162"/>
      <c r="L95" s="162"/>
      <c r="M95" s="163"/>
      <c r="N95" s="163"/>
      <c r="O95" s="162"/>
      <c r="P95" s="162"/>
      <c r="Q95" s="162"/>
      <c r="R95" s="162"/>
      <c r="S95" s="162"/>
      <c r="T95" s="162"/>
      <c r="U95" s="162"/>
      <c r="V95" s="162"/>
      <c r="W95" s="162"/>
      <c r="X95" s="162"/>
      <c r="Y95" s="162"/>
      <c r="Z95" s="162"/>
      <c r="AA95" s="162"/>
      <c r="AB95" s="162"/>
      <c r="AC95" s="162"/>
      <c r="AD95" s="162"/>
    </row>
    <row r="96" spans="1:30" ht="13.5" thickBot="1">
      <c r="A96" s="94"/>
      <c r="B96" s="95"/>
      <c r="C96" s="95"/>
      <c r="D96" s="126"/>
      <c r="E96" s="79" t="str">
        <f t="shared" si="3"/>
        <v/>
      </c>
      <c r="F96" s="198" t="str">
        <f t="shared" si="4"/>
        <v/>
      </c>
      <c r="G96" s="103" t="str">
        <f t="shared" si="5"/>
        <v/>
      </c>
      <c r="H96" s="162"/>
      <c r="I96" s="162"/>
      <c r="J96" s="162"/>
      <c r="K96" s="162"/>
      <c r="L96" s="162"/>
      <c r="M96" s="163"/>
      <c r="N96" s="163"/>
      <c r="O96" s="162"/>
      <c r="P96" s="162"/>
      <c r="Q96" s="162"/>
      <c r="R96" s="162"/>
      <c r="S96" s="162"/>
      <c r="T96" s="162"/>
      <c r="U96" s="162"/>
      <c r="V96" s="162"/>
      <c r="W96" s="162"/>
      <c r="X96" s="162"/>
      <c r="Y96" s="162"/>
      <c r="Z96" s="162"/>
      <c r="AA96" s="162"/>
      <c r="AB96" s="162"/>
      <c r="AC96" s="162"/>
      <c r="AD96" s="162"/>
    </row>
    <row r="97" spans="1:30" ht="13.5" thickBot="1">
      <c r="A97" s="212" t="s">
        <v>289</v>
      </c>
      <c r="B97" s="196"/>
      <c r="C97" s="196"/>
      <c r="D97" s="213"/>
      <c r="E97" s="214">
        <f>SUM(E59:E96)</f>
        <v>0</v>
      </c>
      <c r="F97" s="215">
        <f>SUM(F59:F96)</f>
        <v>0</v>
      </c>
      <c r="G97" s="216">
        <f>SUM(G59:G96)</f>
        <v>0</v>
      </c>
      <c r="H97" s="162"/>
      <c r="I97" s="162"/>
      <c r="J97" s="162"/>
      <c r="K97" s="162"/>
      <c r="L97" s="162"/>
      <c r="M97" s="163"/>
      <c r="N97" s="163"/>
      <c r="O97" s="162"/>
      <c r="P97" s="162"/>
      <c r="Q97" s="162"/>
      <c r="R97" s="162"/>
      <c r="S97" s="162"/>
      <c r="T97" s="162"/>
      <c r="U97" s="162"/>
      <c r="V97" s="162"/>
      <c r="W97" s="162"/>
      <c r="X97" s="162"/>
      <c r="Y97" s="162"/>
      <c r="Z97" s="162"/>
      <c r="AA97" s="162"/>
      <c r="AB97" s="162"/>
      <c r="AC97" s="162"/>
      <c r="AD97" s="162"/>
    </row>
    <row r="98" spans="1:30">
      <c r="A98" s="183"/>
      <c r="B98" s="162"/>
      <c r="C98" s="162"/>
      <c r="D98" s="162"/>
      <c r="E98" s="226"/>
      <c r="F98" s="227"/>
      <c r="G98" s="227"/>
      <c r="H98" s="162"/>
      <c r="I98" s="162"/>
      <c r="J98" s="162"/>
      <c r="K98" s="162"/>
      <c r="L98" s="162"/>
      <c r="M98" s="163"/>
      <c r="N98" s="163"/>
      <c r="O98" s="162"/>
      <c r="P98" s="162"/>
      <c r="Q98" s="162"/>
      <c r="R98" s="162"/>
      <c r="S98" s="162"/>
      <c r="T98" s="162"/>
      <c r="U98" s="162"/>
      <c r="V98" s="162"/>
      <c r="W98" s="162"/>
      <c r="X98" s="162"/>
      <c r="Y98" s="162"/>
      <c r="Z98" s="162"/>
      <c r="AA98" s="162"/>
      <c r="AB98" s="162"/>
      <c r="AC98" s="162"/>
      <c r="AD98" s="162"/>
    </row>
    <row r="99" spans="1:30">
      <c r="A99" s="254" t="s">
        <v>316</v>
      </c>
      <c r="B99" s="223"/>
      <c r="C99" s="223"/>
      <c r="D99" s="223"/>
      <c r="E99" s="224"/>
      <c r="F99" s="225"/>
      <c r="G99" s="225"/>
      <c r="H99" s="162"/>
      <c r="I99" s="162"/>
      <c r="J99" s="162"/>
      <c r="K99" s="162"/>
      <c r="L99" s="162"/>
      <c r="M99" s="163"/>
      <c r="N99" s="163"/>
      <c r="O99" s="162"/>
      <c r="P99" s="162"/>
      <c r="Q99" s="162"/>
      <c r="R99" s="162"/>
      <c r="S99" s="162"/>
      <c r="T99" s="162"/>
      <c r="U99" s="162"/>
      <c r="V99" s="162"/>
      <c r="W99" s="162"/>
      <c r="X99" s="162"/>
      <c r="Y99" s="162"/>
      <c r="Z99" s="162"/>
      <c r="AA99" s="162"/>
      <c r="AB99" s="162"/>
      <c r="AC99" s="162"/>
      <c r="AD99" s="162"/>
    </row>
    <row r="100" spans="1:30">
      <c r="A100" s="161"/>
      <c r="B100" s="162"/>
      <c r="C100" s="162"/>
      <c r="D100" s="162"/>
      <c r="E100" s="226"/>
      <c r="F100" s="227"/>
      <c r="G100" s="227"/>
      <c r="H100" s="162"/>
      <c r="I100" s="162"/>
      <c r="J100" s="162"/>
      <c r="K100" s="162"/>
      <c r="L100" s="162"/>
      <c r="M100" s="163"/>
      <c r="N100" s="163"/>
      <c r="O100" s="162"/>
      <c r="P100" s="162"/>
      <c r="Q100" s="162"/>
      <c r="R100" s="162"/>
      <c r="S100" s="162"/>
      <c r="T100" s="162"/>
      <c r="U100" s="162"/>
      <c r="V100" s="162"/>
      <c r="W100" s="162"/>
      <c r="X100" s="162"/>
      <c r="Y100" s="162"/>
      <c r="Z100" s="162"/>
      <c r="AA100" s="162"/>
      <c r="AB100" s="162"/>
      <c r="AC100" s="162"/>
      <c r="AD100" s="162"/>
    </row>
    <row r="101" spans="1:30" ht="13.5" thickBot="1">
      <c r="A101" s="7" t="s">
        <v>1277</v>
      </c>
      <c r="B101" s="4"/>
      <c r="C101" s="836">
        <f>SUM(E97,E53)-SUM(C103:C108)</f>
        <v>0</v>
      </c>
      <c r="D101" s="836">
        <f>SUM(F97,F53)-SUM(D103:D108)</f>
        <v>0</v>
      </c>
      <c r="E101" s="836">
        <f>SUM(G97,G53)-SUM(E103:E108)</f>
        <v>0</v>
      </c>
      <c r="F101" s="4"/>
      <c r="G101" s="4"/>
      <c r="H101" s="162"/>
      <c r="I101" s="162"/>
      <c r="J101" s="162"/>
      <c r="K101" s="162"/>
      <c r="L101" s="162"/>
      <c r="M101" s="163"/>
      <c r="N101" s="163"/>
      <c r="O101" s="162"/>
      <c r="P101" s="162"/>
      <c r="Q101" s="162"/>
      <c r="R101" s="162"/>
      <c r="S101" s="162"/>
      <c r="T101" s="162"/>
      <c r="U101" s="162"/>
      <c r="V101" s="162"/>
      <c r="W101" s="162"/>
      <c r="X101" s="162"/>
      <c r="Y101" s="162"/>
      <c r="Z101" s="162"/>
      <c r="AA101" s="162"/>
      <c r="AB101" s="162"/>
      <c r="AC101" s="162"/>
      <c r="AD101" s="162"/>
    </row>
    <row r="102" spans="1:30" ht="15" thickBot="1">
      <c r="A102" s="1190" t="s">
        <v>290</v>
      </c>
      <c r="B102" s="1191"/>
      <c r="C102" s="13" t="s">
        <v>291</v>
      </c>
      <c r="D102" s="13" t="s">
        <v>292</v>
      </c>
      <c r="E102" s="14" t="s">
        <v>255</v>
      </c>
      <c r="F102" s="4"/>
      <c r="G102" s="4"/>
      <c r="H102" s="162"/>
      <c r="I102" s="162"/>
      <c r="J102" s="162"/>
      <c r="K102" s="162"/>
      <c r="L102" s="162"/>
      <c r="M102" s="163"/>
      <c r="N102" s="163"/>
      <c r="O102" s="162"/>
      <c r="P102" s="162"/>
      <c r="Q102" s="162"/>
      <c r="R102" s="162"/>
      <c r="S102" s="162"/>
      <c r="T102" s="162"/>
      <c r="U102" s="162"/>
      <c r="V102" s="162"/>
      <c r="W102" s="162"/>
      <c r="X102" s="162"/>
      <c r="Y102" s="162"/>
      <c r="Z102" s="162"/>
      <c r="AA102" s="162"/>
      <c r="AB102" s="162"/>
      <c r="AC102" s="162"/>
      <c r="AD102" s="162"/>
    </row>
    <row r="103" spans="1:30">
      <c r="A103" s="1282" t="s">
        <v>656</v>
      </c>
      <c r="B103" s="1283"/>
      <c r="C103" s="733">
        <f>SUMIF($C$15:$C$52,$A103,E$15:E$52)+SUMIF($C$59:$C$96,$A103,E$59:E$96)</f>
        <v>0</v>
      </c>
      <c r="D103" s="733">
        <f>SUMIF($C$15:$C$52,$A103,F$15:F$52)+SUMIF($C$59:$C$96,$A103,F$59:F$96)</f>
        <v>0</v>
      </c>
      <c r="E103" s="736">
        <f>SUMIF($C$15:$C$52,$A103,G$15:G$52)+SUMIF($C$59:$C$96,$A103,G$59:G$96)</f>
        <v>0</v>
      </c>
      <c r="F103" s="4"/>
      <c r="G103" s="4"/>
      <c r="H103" s="162"/>
      <c r="I103" s="162"/>
      <c r="J103" s="162"/>
      <c r="K103" s="162"/>
      <c r="L103" s="162"/>
      <c r="M103" s="163"/>
      <c r="N103" s="163"/>
      <c r="O103" s="162"/>
      <c r="P103" s="162"/>
      <c r="Q103" s="162"/>
      <c r="R103" s="162"/>
      <c r="S103" s="162"/>
      <c r="T103" s="162"/>
      <c r="U103" s="162"/>
      <c r="V103" s="162"/>
      <c r="W103" s="162"/>
      <c r="X103" s="162"/>
      <c r="Y103" s="162"/>
      <c r="Z103" s="162"/>
      <c r="AA103" s="162"/>
      <c r="AB103" s="162"/>
      <c r="AC103" s="162"/>
      <c r="AD103" s="162"/>
    </row>
    <row r="104" spans="1:30">
      <c r="A104" s="1271" t="s">
        <v>4</v>
      </c>
      <c r="B104" s="1272"/>
      <c r="C104" s="734">
        <f t="shared" ref="C104:E105" si="6">SUMIF($C$15:$C$52,$A104,E$15:E$52)</f>
        <v>0</v>
      </c>
      <c r="D104" s="734">
        <f t="shared" si="6"/>
        <v>0</v>
      </c>
      <c r="E104" s="737">
        <f t="shared" si="6"/>
        <v>0</v>
      </c>
      <c r="F104" s="4"/>
      <c r="G104" s="4"/>
      <c r="H104" s="162"/>
      <c r="I104" s="162"/>
      <c r="J104" s="162"/>
      <c r="K104" s="162"/>
      <c r="L104" s="162"/>
      <c r="M104" s="163"/>
      <c r="N104" s="163"/>
      <c r="O104" s="162"/>
      <c r="P104" s="162"/>
      <c r="Q104" s="162"/>
      <c r="R104" s="162"/>
      <c r="S104" s="162"/>
      <c r="T104" s="162"/>
      <c r="U104" s="162"/>
      <c r="V104" s="162"/>
      <c r="W104" s="162"/>
      <c r="X104" s="162"/>
      <c r="Y104" s="162"/>
      <c r="Z104" s="162"/>
      <c r="AA104" s="162"/>
      <c r="AB104" s="162"/>
      <c r="AC104" s="162"/>
      <c r="AD104" s="162"/>
    </row>
    <row r="105" spans="1:30">
      <c r="A105" s="1271" t="s">
        <v>3</v>
      </c>
      <c r="B105" s="1272"/>
      <c r="C105" s="734">
        <f t="shared" si="6"/>
        <v>0</v>
      </c>
      <c r="D105" s="734">
        <f t="shared" si="6"/>
        <v>0</v>
      </c>
      <c r="E105" s="737">
        <f t="shared" si="6"/>
        <v>0</v>
      </c>
      <c r="F105" s="4"/>
      <c r="G105" s="4"/>
      <c r="H105" s="162"/>
      <c r="I105" s="162"/>
      <c r="J105" s="162"/>
      <c r="K105" s="162"/>
      <c r="L105" s="162"/>
      <c r="M105" s="163"/>
      <c r="N105" s="163"/>
      <c r="O105" s="162"/>
      <c r="P105" s="162"/>
      <c r="Q105" s="162"/>
      <c r="R105" s="162"/>
      <c r="S105" s="162"/>
      <c r="T105" s="162"/>
      <c r="U105" s="162"/>
      <c r="V105" s="162"/>
      <c r="W105" s="162"/>
      <c r="X105" s="162"/>
      <c r="Y105" s="162"/>
      <c r="Z105" s="162"/>
      <c r="AA105" s="162"/>
      <c r="AB105" s="162"/>
      <c r="AC105" s="162"/>
      <c r="AD105" s="162"/>
    </row>
    <row r="106" spans="1:30">
      <c r="A106" s="1271" t="s">
        <v>272</v>
      </c>
      <c r="B106" s="1272"/>
      <c r="C106" s="734">
        <f t="shared" ref="C106:E108" si="7">SUMIF($C$59:$C$96,$A106,E$59:E$96)</f>
        <v>0</v>
      </c>
      <c r="D106" s="734">
        <f t="shared" si="7"/>
        <v>0</v>
      </c>
      <c r="E106" s="737">
        <f t="shared" si="7"/>
        <v>0</v>
      </c>
      <c r="F106" s="4"/>
      <c r="G106" s="4"/>
      <c r="H106" s="162"/>
      <c r="I106" s="162"/>
      <c r="J106" s="162"/>
      <c r="K106" s="162"/>
      <c r="L106" s="162"/>
      <c r="M106" s="163"/>
      <c r="N106" s="163"/>
      <c r="O106" s="162"/>
      <c r="P106" s="162"/>
      <c r="Q106" s="162"/>
      <c r="R106" s="162"/>
      <c r="S106" s="162"/>
      <c r="T106" s="162"/>
      <c r="U106" s="162"/>
      <c r="V106" s="162"/>
      <c r="W106" s="162"/>
      <c r="X106" s="162"/>
      <c r="Y106" s="162"/>
      <c r="Z106" s="162"/>
      <c r="AA106" s="162"/>
      <c r="AB106" s="162"/>
      <c r="AC106" s="162"/>
      <c r="AD106" s="162"/>
    </row>
    <row r="107" spans="1:30">
      <c r="A107" s="1271" t="s">
        <v>205</v>
      </c>
      <c r="B107" s="1272"/>
      <c r="C107" s="734">
        <f t="shared" si="7"/>
        <v>0</v>
      </c>
      <c r="D107" s="734">
        <f t="shared" si="7"/>
        <v>0</v>
      </c>
      <c r="E107" s="737">
        <f t="shared" si="7"/>
        <v>0</v>
      </c>
      <c r="F107" s="4"/>
      <c r="G107" s="4"/>
      <c r="H107" s="162"/>
      <c r="I107" s="162"/>
      <c r="J107" s="162"/>
      <c r="K107" s="162"/>
      <c r="L107" s="162"/>
      <c r="M107" s="163"/>
      <c r="N107" s="163"/>
      <c r="O107" s="162"/>
      <c r="P107" s="162"/>
      <c r="Q107" s="162"/>
      <c r="R107" s="162"/>
      <c r="S107" s="162"/>
      <c r="T107" s="162"/>
      <c r="U107" s="162"/>
      <c r="V107" s="162"/>
      <c r="W107" s="162"/>
      <c r="X107" s="162"/>
      <c r="Y107" s="162"/>
      <c r="Z107" s="162"/>
      <c r="AA107" s="162"/>
      <c r="AB107" s="162"/>
      <c r="AC107" s="162"/>
      <c r="AD107" s="162"/>
    </row>
    <row r="108" spans="1:30" ht="13.5" thickBot="1">
      <c r="A108" s="1277" t="s">
        <v>206</v>
      </c>
      <c r="B108" s="1278"/>
      <c r="C108" s="735">
        <f t="shared" si="7"/>
        <v>0</v>
      </c>
      <c r="D108" s="735">
        <f t="shared" si="7"/>
        <v>0</v>
      </c>
      <c r="E108" s="738">
        <f t="shared" si="7"/>
        <v>0</v>
      </c>
      <c r="F108" s="4"/>
      <c r="G108" s="4"/>
      <c r="H108" s="162"/>
      <c r="I108" s="162"/>
      <c r="J108" s="162"/>
      <c r="K108" s="162"/>
      <c r="L108" s="162"/>
      <c r="M108" s="163"/>
      <c r="N108" s="163"/>
      <c r="O108" s="162"/>
      <c r="P108" s="162"/>
      <c r="Q108" s="162"/>
      <c r="R108" s="162"/>
      <c r="S108" s="162"/>
      <c r="T108" s="162"/>
      <c r="U108" s="162"/>
      <c r="V108" s="162"/>
      <c r="W108" s="162"/>
      <c r="X108" s="162"/>
      <c r="Y108" s="162"/>
      <c r="Z108" s="162"/>
      <c r="AA108" s="162"/>
      <c r="AB108" s="162"/>
      <c r="AC108" s="162"/>
      <c r="AD108" s="162"/>
    </row>
    <row r="109" spans="1:30" ht="13.5" thickBot="1">
      <c r="A109" s="162"/>
      <c r="B109" s="162"/>
      <c r="C109" s="162"/>
      <c r="D109" s="162"/>
      <c r="E109" s="162"/>
      <c r="F109" s="162"/>
      <c r="G109" s="162"/>
      <c r="H109" s="162"/>
      <c r="I109" s="162"/>
      <c r="J109" s="162"/>
      <c r="K109" s="162"/>
      <c r="L109" s="162"/>
      <c r="M109" s="163"/>
      <c r="N109" s="163"/>
      <c r="O109" s="162"/>
      <c r="P109" s="162"/>
      <c r="Q109" s="162"/>
      <c r="R109" s="162"/>
      <c r="S109" s="162"/>
      <c r="T109" s="162"/>
      <c r="U109" s="162"/>
      <c r="V109" s="162"/>
      <c r="W109" s="162"/>
      <c r="X109" s="162"/>
      <c r="Y109" s="162"/>
      <c r="Z109" s="162"/>
      <c r="AA109" s="162"/>
      <c r="AB109" s="162"/>
      <c r="AC109" s="162"/>
      <c r="AD109" s="162"/>
    </row>
    <row r="110" spans="1:30">
      <c r="A110" s="240"/>
      <c r="B110" s="414"/>
      <c r="C110" s="414"/>
      <c r="D110" s="415"/>
      <c r="E110" s="162"/>
      <c r="F110" s="162"/>
      <c r="G110" s="162"/>
      <c r="H110" s="162"/>
      <c r="I110" s="162"/>
      <c r="J110" s="162"/>
      <c r="K110" s="162"/>
      <c r="L110" s="162"/>
      <c r="M110" s="163"/>
      <c r="N110" s="163"/>
      <c r="O110" s="162"/>
      <c r="P110" s="162"/>
      <c r="Q110" s="162"/>
      <c r="R110" s="162"/>
      <c r="S110" s="162"/>
      <c r="T110" s="162"/>
      <c r="U110" s="162"/>
      <c r="V110" s="162"/>
      <c r="W110" s="162"/>
      <c r="X110" s="162"/>
      <c r="Y110" s="162"/>
      <c r="Z110" s="162"/>
      <c r="AA110" s="162"/>
      <c r="AB110" s="162"/>
      <c r="AC110" s="162"/>
      <c r="AD110" s="162"/>
    </row>
    <row r="111" spans="1:30" ht="15" thickBot="1">
      <c r="A111" s="241" t="s">
        <v>1278</v>
      </c>
      <c r="B111" s="416"/>
      <c r="C111" s="416"/>
      <c r="D111" s="239">
        <f>(SUM(C103:C108)+SUM(D103:D108)/1000*CH4_GWP+SUM(E103:E108)/1000*N2O_GWP)/1000</f>
        <v>0</v>
      </c>
      <c r="E111" s="162"/>
      <c r="F111" s="162"/>
      <c r="G111" s="162"/>
      <c r="H111" s="162"/>
      <c r="I111" s="162"/>
      <c r="J111" s="226"/>
      <c r="K111" s="226"/>
      <c r="L111" s="162"/>
      <c r="M111" s="163"/>
      <c r="N111" s="163"/>
      <c r="O111" s="162"/>
      <c r="P111" s="162"/>
      <c r="Q111" s="162"/>
      <c r="R111" s="162"/>
      <c r="S111" s="162"/>
      <c r="T111" s="162"/>
      <c r="U111" s="162"/>
      <c r="V111" s="162"/>
      <c r="W111" s="162"/>
      <c r="X111" s="162"/>
      <c r="Y111" s="162"/>
      <c r="Z111" s="162"/>
      <c r="AA111" s="162"/>
      <c r="AB111" s="162"/>
      <c r="AC111" s="162"/>
      <c r="AD111" s="162"/>
    </row>
    <row r="112" spans="1:30">
      <c r="A112" s="162"/>
      <c r="B112" s="162"/>
      <c r="C112" s="162"/>
      <c r="D112" s="162"/>
      <c r="E112" s="162"/>
      <c r="F112" s="162"/>
      <c r="G112" s="162"/>
      <c r="H112" s="162"/>
      <c r="I112" s="162"/>
      <c r="J112" s="227"/>
      <c r="K112" s="162"/>
      <c r="L112" s="162"/>
      <c r="M112" s="163"/>
      <c r="N112" s="163"/>
      <c r="O112" s="162"/>
      <c r="P112" s="162"/>
      <c r="Q112" s="162"/>
      <c r="R112" s="162"/>
      <c r="S112" s="162"/>
      <c r="T112" s="162"/>
      <c r="U112" s="162"/>
      <c r="V112" s="162"/>
      <c r="W112" s="162"/>
      <c r="X112" s="162"/>
      <c r="Y112" s="162"/>
      <c r="Z112" s="162"/>
      <c r="AA112" s="162"/>
      <c r="AB112" s="162"/>
      <c r="AC112" s="162"/>
      <c r="AD112" s="162"/>
    </row>
    <row r="113" spans="1:30">
      <c r="A113" s="162"/>
      <c r="B113" s="162"/>
      <c r="C113" s="162"/>
      <c r="D113" s="162"/>
      <c r="E113" s="162"/>
      <c r="F113" s="162"/>
      <c r="G113" s="162"/>
      <c r="H113" s="162"/>
      <c r="I113" s="162"/>
      <c r="J113" s="162"/>
      <c r="K113" s="162"/>
      <c r="L113" s="162"/>
      <c r="M113" s="163"/>
      <c r="N113" s="163"/>
      <c r="O113" s="162"/>
      <c r="P113" s="162"/>
      <c r="Q113" s="162"/>
      <c r="R113" s="162"/>
      <c r="S113" s="162"/>
      <c r="T113" s="162"/>
      <c r="U113" s="162"/>
      <c r="V113" s="162"/>
      <c r="W113" s="162"/>
      <c r="X113" s="162"/>
      <c r="Y113" s="162"/>
      <c r="Z113" s="162"/>
      <c r="AA113" s="162"/>
      <c r="AB113" s="162"/>
      <c r="AC113" s="162"/>
      <c r="AD113" s="162"/>
    </row>
    <row r="114" spans="1:30">
      <c r="A114" s="162"/>
      <c r="B114" s="162"/>
      <c r="C114" s="162"/>
      <c r="D114" s="162"/>
      <c r="E114" s="162"/>
      <c r="F114" s="162"/>
      <c r="G114" s="162"/>
      <c r="H114" s="162"/>
      <c r="I114" s="162"/>
      <c r="J114" s="162"/>
      <c r="K114" s="162"/>
      <c r="L114" s="162"/>
      <c r="M114" s="163"/>
      <c r="N114" s="163"/>
      <c r="O114" s="162"/>
      <c r="P114" s="162"/>
      <c r="Q114" s="162"/>
      <c r="R114" s="162"/>
      <c r="S114" s="162"/>
      <c r="T114" s="162"/>
      <c r="U114" s="162"/>
      <c r="V114" s="162"/>
      <c r="W114" s="162"/>
      <c r="X114" s="162"/>
      <c r="Y114" s="162"/>
      <c r="Z114" s="162"/>
      <c r="AA114" s="162"/>
      <c r="AB114" s="162"/>
      <c r="AC114" s="162"/>
      <c r="AD114" s="162"/>
    </row>
    <row r="115" spans="1:30">
      <c r="A115" s="162"/>
      <c r="B115" s="162"/>
      <c r="C115" s="162"/>
      <c r="D115" s="162"/>
      <c r="E115" s="162"/>
      <c r="F115" s="162"/>
      <c r="G115" s="162"/>
      <c r="H115" s="162"/>
      <c r="I115" s="162"/>
      <c r="J115" s="162"/>
      <c r="K115" s="162"/>
      <c r="L115" s="162"/>
      <c r="M115" s="163"/>
      <c r="N115" s="163"/>
      <c r="O115" s="162"/>
      <c r="P115" s="162"/>
      <c r="Q115" s="162"/>
      <c r="R115" s="162"/>
      <c r="S115" s="162"/>
      <c r="T115" s="162"/>
      <c r="U115" s="162"/>
      <c r="V115" s="162"/>
      <c r="W115" s="162"/>
      <c r="X115" s="162"/>
      <c r="Y115" s="162"/>
      <c r="Z115" s="162"/>
      <c r="AA115" s="162"/>
      <c r="AB115" s="162"/>
      <c r="AC115" s="162"/>
      <c r="AD115" s="162"/>
    </row>
    <row r="116" spans="1:30">
      <c r="A116" s="162"/>
      <c r="B116" s="162"/>
      <c r="C116" s="162"/>
      <c r="D116" s="162"/>
      <c r="E116" s="162"/>
      <c r="F116" s="162"/>
      <c r="G116" s="162"/>
      <c r="H116" s="162"/>
      <c r="I116" s="162"/>
      <c r="J116" s="162"/>
      <c r="K116" s="162"/>
      <c r="L116" s="162"/>
      <c r="M116" s="163"/>
      <c r="N116" s="163"/>
      <c r="O116" s="162"/>
      <c r="P116" s="162"/>
      <c r="Q116" s="162"/>
      <c r="R116" s="162"/>
      <c r="S116" s="162"/>
      <c r="T116" s="162"/>
      <c r="U116" s="162"/>
      <c r="V116" s="162"/>
      <c r="W116" s="162"/>
      <c r="X116" s="162"/>
      <c r="Y116" s="162"/>
      <c r="Z116" s="162"/>
      <c r="AA116" s="162"/>
      <c r="AB116" s="162"/>
      <c r="AC116" s="162"/>
      <c r="AD116" s="162"/>
    </row>
    <row r="117" spans="1:30">
      <c r="A117" s="162"/>
      <c r="B117" s="162"/>
      <c r="C117" s="162"/>
      <c r="D117" s="162"/>
      <c r="E117" s="162"/>
      <c r="F117" s="162"/>
      <c r="G117" s="162"/>
      <c r="H117" s="162"/>
      <c r="I117" s="162"/>
      <c r="J117" s="162"/>
      <c r="K117" s="162"/>
      <c r="L117" s="162"/>
      <c r="M117" s="163"/>
      <c r="N117" s="163"/>
      <c r="O117" s="162"/>
      <c r="P117" s="162"/>
      <c r="Q117" s="162"/>
      <c r="R117" s="162"/>
      <c r="S117" s="162"/>
      <c r="T117" s="162"/>
      <c r="U117" s="162"/>
      <c r="V117" s="162"/>
      <c r="W117" s="162"/>
      <c r="X117" s="162"/>
      <c r="Y117" s="162"/>
      <c r="Z117" s="162"/>
      <c r="AA117" s="162"/>
      <c r="AB117" s="162"/>
      <c r="AC117" s="162"/>
      <c r="AD117" s="162"/>
    </row>
    <row r="118" spans="1:30">
      <c r="A118" s="162"/>
      <c r="B118" s="162"/>
      <c r="C118" s="162"/>
      <c r="D118" s="162"/>
      <c r="E118" s="162"/>
      <c r="F118" s="162"/>
      <c r="G118" s="162"/>
      <c r="H118" s="162"/>
      <c r="I118" s="162"/>
      <c r="J118" s="162"/>
      <c r="K118" s="162"/>
      <c r="L118" s="162"/>
      <c r="M118" s="163"/>
      <c r="N118" s="163"/>
      <c r="O118" s="162"/>
      <c r="P118" s="162"/>
      <c r="Q118" s="162"/>
      <c r="R118" s="162"/>
      <c r="S118" s="162"/>
      <c r="T118" s="162"/>
      <c r="U118" s="162"/>
      <c r="V118" s="162"/>
      <c r="W118" s="162"/>
      <c r="X118" s="162"/>
      <c r="Y118" s="162"/>
      <c r="Z118" s="162"/>
      <c r="AA118" s="162"/>
      <c r="AB118" s="162"/>
      <c r="AC118" s="162"/>
      <c r="AD118" s="162"/>
    </row>
    <row r="119" spans="1:30">
      <c r="A119" s="162"/>
      <c r="B119" s="162"/>
      <c r="C119" s="162"/>
      <c r="D119" s="162"/>
      <c r="E119" s="162"/>
      <c r="F119" s="162"/>
      <c r="G119" s="162"/>
      <c r="H119" s="162"/>
      <c r="I119" s="162"/>
      <c r="J119" s="162"/>
      <c r="K119" s="162"/>
      <c r="L119" s="162"/>
      <c r="M119" s="163"/>
      <c r="N119" s="163"/>
      <c r="O119" s="162"/>
      <c r="P119" s="162"/>
      <c r="Q119" s="162"/>
      <c r="R119" s="162"/>
      <c r="S119" s="162"/>
      <c r="T119" s="162"/>
      <c r="U119" s="162"/>
      <c r="V119" s="162"/>
      <c r="W119" s="162"/>
      <c r="X119" s="162"/>
      <c r="Y119" s="162"/>
      <c r="Z119" s="162"/>
      <c r="AA119" s="162"/>
      <c r="AB119" s="162"/>
      <c r="AC119" s="162"/>
      <c r="AD119" s="162"/>
    </row>
    <row r="120" spans="1:30">
      <c r="A120" s="162"/>
      <c r="B120" s="162"/>
      <c r="C120" s="162"/>
      <c r="D120" s="162"/>
      <c r="E120" s="162"/>
      <c r="F120" s="162"/>
      <c r="G120" s="162"/>
      <c r="H120" s="162"/>
      <c r="I120" s="162"/>
      <c r="J120" s="162"/>
      <c r="K120" s="162"/>
      <c r="L120" s="162"/>
      <c r="M120" s="163"/>
      <c r="N120" s="163"/>
      <c r="O120" s="162"/>
      <c r="P120" s="162"/>
      <c r="Q120" s="162"/>
      <c r="R120" s="162"/>
      <c r="S120" s="162"/>
      <c r="T120" s="162"/>
      <c r="U120" s="162"/>
      <c r="V120" s="162"/>
      <c r="W120" s="162"/>
      <c r="X120" s="162"/>
      <c r="Y120" s="162"/>
      <c r="Z120" s="162"/>
      <c r="AA120" s="162"/>
      <c r="AB120" s="162"/>
      <c r="AC120" s="162"/>
      <c r="AD120" s="162"/>
    </row>
    <row r="121" spans="1:30">
      <c r="A121" s="162"/>
      <c r="B121" s="162"/>
      <c r="C121" s="162"/>
      <c r="D121" s="162"/>
      <c r="E121" s="162"/>
      <c r="F121" s="162"/>
      <c r="G121" s="162"/>
      <c r="H121" s="162"/>
      <c r="I121" s="162"/>
      <c r="J121" s="162"/>
      <c r="K121" s="162"/>
      <c r="L121" s="162"/>
      <c r="M121" s="163"/>
      <c r="N121" s="163"/>
      <c r="O121" s="162"/>
      <c r="P121" s="162"/>
      <c r="Q121" s="162"/>
      <c r="R121" s="162"/>
      <c r="S121" s="162"/>
      <c r="T121" s="162"/>
      <c r="U121" s="162"/>
      <c r="V121" s="162"/>
      <c r="W121" s="162"/>
      <c r="X121" s="162"/>
      <c r="Y121" s="162"/>
      <c r="Z121" s="162"/>
      <c r="AA121" s="162"/>
      <c r="AB121" s="162"/>
      <c r="AC121" s="162"/>
      <c r="AD121" s="162"/>
    </row>
    <row r="122" spans="1:30">
      <c r="A122" s="162"/>
      <c r="B122" s="162"/>
      <c r="C122" s="162"/>
      <c r="D122" s="162"/>
      <c r="E122" s="162"/>
      <c r="F122" s="162"/>
      <c r="G122" s="162"/>
      <c r="H122" s="162"/>
      <c r="I122" s="162"/>
      <c r="J122" s="162"/>
      <c r="K122" s="162"/>
      <c r="L122" s="162"/>
      <c r="M122" s="163"/>
      <c r="N122" s="163"/>
      <c r="O122" s="162"/>
      <c r="P122" s="162"/>
      <c r="Q122" s="162"/>
      <c r="R122" s="162"/>
      <c r="S122" s="162"/>
      <c r="T122" s="162"/>
      <c r="U122" s="162"/>
      <c r="V122" s="162"/>
      <c r="W122" s="162"/>
      <c r="X122" s="162"/>
      <c r="Y122" s="162"/>
      <c r="Z122" s="162"/>
      <c r="AA122" s="162"/>
      <c r="AB122" s="162"/>
      <c r="AC122" s="162"/>
      <c r="AD122" s="162"/>
    </row>
    <row r="123" spans="1:30">
      <c r="A123" s="162"/>
      <c r="B123" s="162"/>
      <c r="C123" s="162"/>
      <c r="D123" s="162"/>
      <c r="E123" s="162"/>
      <c r="F123" s="162"/>
      <c r="G123" s="162"/>
      <c r="H123" s="162"/>
      <c r="I123" s="162"/>
      <c r="J123" s="162"/>
      <c r="K123" s="162"/>
      <c r="L123" s="162"/>
      <c r="M123" s="163"/>
      <c r="N123" s="163"/>
      <c r="O123" s="162"/>
      <c r="P123" s="162"/>
      <c r="Q123" s="162"/>
      <c r="R123" s="162"/>
      <c r="S123" s="162"/>
      <c r="T123" s="162"/>
      <c r="U123" s="162"/>
      <c r="V123" s="162"/>
      <c r="W123" s="162"/>
      <c r="X123" s="162"/>
      <c r="Y123" s="162"/>
      <c r="Z123" s="162"/>
      <c r="AA123" s="162"/>
      <c r="AB123" s="162"/>
      <c r="AC123" s="162"/>
      <c r="AD123" s="162"/>
    </row>
    <row r="124" spans="1:30">
      <c r="A124" s="162"/>
      <c r="B124" s="162"/>
      <c r="C124" s="162"/>
      <c r="D124" s="162"/>
      <c r="E124" s="162"/>
      <c r="F124" s="162"/>
      <c r="G124" s="162"/>
      <c r="H124" s="162"/>
      <c r="I124" s="162"/>
      <c r="J124" s="162"/>
      <c r="K124" s="162"/>
      <c r="L124" s="162"/>
      <c r="M124" s="163"/>
      <c r="N124" s="163"/>
      <c r="O124" s="162"/>
      <c r="P124" s="162"/>
      <c r="Q124" s="162"/>
      <c r="R124" s="162"/>
      <c r="S124" s="162"/>
      <c r="T124" s="162"/>
      <c r="U124" s="162"/>
      <c r="V124" s="162"/>
      <c r="W124" s="162"/>
      <c r="X124" s="162"/>
      <c r="Y124" s="162"/>
      <c r="Z124" s="162"/>
      <c r="AA124" s="162"/>
      <c r="AB124" s="162"/>
      <c r="AC124" s="162"/>
      <c r="AD124" s="162"/>
    </row>
    <row r="125" spans="1:30">
      <c r="A125" s="162"/>
      <c r="B125" s="162"/>
      <c r="C125" s="162"/>
      <c r="D125" s="162"/>
      <c r="E125" s="162"/>
      <c r="F125" s="162"/>
      <c r="G125" s="162"/>
      <c r="H125" s="162"/>
      <c r="I125" s="162"/>
      <c r="J125" s="162"/>
      <c r="K125" s="162"/>
      <c r="L125" s="162"/>
      <c r="M125" s="163"/>
      <c r="N125" s="163"/>
      <c r="O125" s="162"/>
      <c r="P125" s="162"/>
      <c r="Q125" s="162"/>
      <c r="R125" s="162"/>
      <c r="S125" s="162"/>
      <c r="T125" s="162"/>
      <c r="U125" s="162"/>
      <c r="V125" s="162"/>
      <c r="W125" s="162"/>
      <c r="X125" s="162"/>
      <c r="Y125" s="162"/>
      <c r="Z125" s="162"/>
      <c r="AA125" s="162"/>
      <c r="AB125" s="162"/>
      <c r="AC125" s="162"/>
      <c r="AD125" s="162"/>
    </row>
    <row r="126" spans="1:30">
      <c r="A126" s="162"/>
      <c r="B126" s="162"/>
      <c r="C126" s="162"/>
      <c r="D126" s="162"/>
      <c r="E126" s="162"/>
      <c r="F126" s="162"/>
      <c r="G126" s="162"/>
      <c r="H126" s="162"/>
      <c r="I126" s="162"/>
      <c r="J126" s="162"/>
      <c r="K126" s="162"/>
      <c r="L126" s="162"/>
      <c r="M126" s="163"/>
      <c r="N126" s="163"/>
      <c r="O126" s="162"/>
      <c r="P126" s="162"/>
      <c r="Q126" s="162"/>
      <c r="R126" s="162"/>
      <c r="S126" s="162"/>
      <c r="T126" s="162"/>
      <c r="U126" s="162"/>
      <c r="V126" s="162"/>
      <c r="W126" s="162"/>
      <c r="X126" s="162"/>
      <c r="Y126" s="162"/>
      <c r="Z126" s="162"/>
      <c r="AA126" s="162"/>
      <c r="AB126" s="162"/>
      <c r="AC126" s="162"/>
      <c r="AD126" s="162"/>
    </row>
    <row r="127" spans="1:30">
      <c r="A127" s="162"/>
      <c r="B127" s="162"/>
      <c r="C127" s="162"/>
      <c r="D127" s="162"/>
      <c r="E127" s="162"/>
      <c r="F127" s="162"/>
      <c r="G127" s="162"/>
      <c r="H127" s="162"/>
      <c r="I127" s="162"/>
      <c r="J127" s="162"/>
      <c r="K127" s="162"/>
      <c r="L127" s="162"/>
      <c r="M127" s="163"/>
      <c r="N127" s="163"/>
      <c r="O127" s="162"/>
      <c r="P127" s="162"/>
      <c r="Q127" s="162"/>
      <c r="R127" s="162"/>
      <c r="S127" s="162"/>
      <c r="T127" s="162"/>
      <c r="U127" s="162"/>
      <c r="V127" s="162"/>
      <c r="W127" s="162"/>
      <c r="X127" s="162"/>
      <c r="Y127" s="162"/>
      <c r="Z127" s="162"/>
      <c r="AA127" s="162"/>
      <c r="AB127" s="162"/>
      <c r="AC127" s="162"/>
      <c r="AD127" s="162"/>
    </row>
    <row r="128" spans="1:30">
      <c r="A128" s="162"/>
      <c r="B128" s="162"/>
      <c r="C128" s="162"/>
      <c r="D128" s="162"/>
      <c r="E128" s="162"/>
      <c r="F128" s="162"/>
      <c r="G128" s="162"/>
      <c r="H128" s="162"/>
      <c r="I128" s="162"/>
      <c r="J128" s="162"/>
      <c r="K128" s="162"/>
      <c r="L128" s="162"/>
      <c r="M128" s="163"/>
      <c r="N128" s="163"/>
      <c r="O128" s="162"/>
      <c r="P128" s="162"/>
      <c r="Q128" s="162"/>
      <c r="R128" s="162"/>
      <c r="S128" s="162"/>
      <c r="T128" s="162"/>
      <c r="U128" s="162"/>
      <c r="V128" s="162"/>
      <c r="W128" s="162"/>
      <c r="X128" s="162"/>
      <c r="Y128" s="162"/>
      <c r="Z128" s="162"/>
      <c r="AA128" s="162"/>
      <c r="AB128" s="162"/>
      <c r="AC128" s="162"/>
      <c r="AD128" s="162"/>
    </row>
    <row r="129" spans="1:30">
      <c r="A129" s="162"/>
      <c r="B129" s="162"/>
      <c r="C129" s="162"/>
      <c r="D129" s="162"/>
      <c r="E129" s="162"/>
      <c r="F129" s="162"/>
      <c r="G129" s="162"/>
      <c r="H129" s="162"/>
      <c r="I129" s="162"/>
      <c r="J129" s="162"/>
      <c r="K129" s="162"/>
      <c r="L129" s="162"/>
      <c r="M129" s="163"/>
      <c r="N129" s="163"/>
      <c r="O129" s="162"/>
      <c r="P129" s="162"/>
      <c r="Q129" s="162"/>
      <c r="R129" s="162"/>
      <c r="S129" s="162"/>
      <c r="T129" s="162"/>
      <c r="U129" s="162"/>
      <c r="V129" s="162"/>
      <c r="W129" s="162"/>
      <c r="X129" s="162"/>
      <c r="Y129" s="162"/>
      <c r="Z129" s="162"/>
      <c r="AA129" s="162"/>
      <c r="AB129" s="162"/>
      <c r="AC129" s="162"/>
      <c r="AD129" s="162"/>
    </row>
    <row r="130" spans="1:30">
      <c r="A130" s="162"/>
      <c r="B130" s="162"/>
      <c r="C130" s="162"/>
      <c r="D130" s="162"/>
      <c r="E130" s="162"/>
      <c r="F130" s="162"/>
      <c r="G130" s="162"/>
      <c r="H130" s="162"/>
      <c r="I130" s="162"/>
      <c r="J130" s="162"/>
      <c r="K130" s="162"/>
      <c r="L130" s="162"/>
      <c r="M130" s="163"/>
      <c r="N130" s="163"/>
      <c r="O130" s="162"/>
      <c r="P130" s="162"/>
      <c r="Q130" s="162"/>
      <c r="R130" s="162"/>
      <c r="S130" s="162"/>
      <c r="T130" s="162"/>
      <c r="U130" s="162"/>
      <c r="V130" s="162"/>
      <c r="W130" s="162"/>
      <c r="X130" s="162"/>
      <c r="Y130" s="162"/>
      <c r="Z130" s="162"/>
      <c r="AA130" s="162"/>
      <c r="AB130" s="162"/>
      <c r="AC130" s="162"/>
      <c r="AD130" s="162"/>
    </row>
    <row r="131" spans="1:30">
      <c r="A131" s="162"/>
      <c r="B131" s="162"/>
      <c r="C131" s="162"/>
      <c r="D131" s="162"/>
      <c r="E131" s="162"/>
      <c r="F131" s="162"/>
      <c r="G131" s="162"/>
      <c r="H131" s="162"/>
      <c r="I131" s="162"/>
      <c r="J131" s="162"/>
      <c r="K131" s="162"/>
      <c r="L131" s="162"/>
      <c r="M131" s="163"/>
      <c r="N131" s="163"/>
      <c r="O131" s="162"/>
      <c r="P131" s="162"/>
      <c r="Q131" s="162"/>
      <c r="R131" s="162"/>
      <c r="S131" s="162"/>
      <c r="T131" s="162"/>
      <c r="U131" s="162"/>
      <c r="V131" s="162"/>
      <c r="W131" s="162"/>
      <c r="X131" s="162"/>
      <c r="Y131" s="162"/>
      <c r="Z131" s="162"/>
      <c r="AA131" s="162"/>
      <c r="AB131" s="162"/>
      <c r="AC131" s="162"/>
      <c r="AD131" s="162"/>
    </row>
    <row r="132" spans="1:30">
      <c r="A132" s="162"/>
      <c r="B132" s="162"/>
      <c r="C132" s="162"/>
      <c r="D132" s="162"/>
      <c r="E132" s="162"/>
      <c r="F132" s="162"/>
      <c r="G132" s="162"/>
      <c r="H132" s="162"/>
      <c r="I132" s="162"/>
      <c r="J132" s="162"/>
      <c r="K132" s="162"/>
      <c r="L132" s="162"/>
      <c r="M132" s="163"/>
      <c r="N132" s="163"/>
      <c r="O132" s="162"/>
      <c r="P132" s="162"/>
      <c r="Q132" s="162"/>
      <c r="R132" s="162"/>
      <c r="S132" s="162"/>
      <c r="T132" s="162"/>
      <c r="U132" s="162"/>
      <c r="V132" s="162"/>
      <c r="W132" s="162"/>
      <c r="X132" s="162"/>
      <c r="Y132" s="162"/>
      <c r="Z132" s="162"/>
      <c r="AA132" s="162"/>
      <c r="AB132" s="162"/>
      <c r="AC132" s="162"/>
      <c r="AD132" s="162"/>
    </row>
    <row r="133" spans="1:30">
      <c r="A133" s="162"/>
      <c r="B133" s="162"/>
      <c r="C133" s="162"/>
      <c r="D133" s="162"/>
      <c r="E133" s="162"/>
      <c r="F133" s="162"/>
      <c r="G133" s="162"/>
      <c r="H133" s="162"/>
      <c r="I133" s="162"/>
      <c r="J133" s="162"/>
      <c r="K133" s="162"/>
      <c r="L133" s="162"/>
      <c r="M133" s="163"/>
      <c r="N133" s="163"/>
      <c r="O133" s="162"/>
      <c r="P133" s="162"/>
      <c r="Q133" s="162"/>
      <c r="R133" s="162"/>
      <c r="S133" s="162"/>
      <c r="T133" s="162"/>
      <c r="U133" s="162"/>
      <c r="V133" s="162"/>
      <c r="W133" s="162"/>
      <c r="X133" s="162"/>
      <c r="Y133" s="162"/>
      <c r="Z133" s="162"/>
      <c r="AA133" s="162"/>
      <c r="AB133" s="162"/>
      <c r="AC133" s="162"/>
      <c r="AD133" s="162"/>
    </row>
    <row r="134" spans="1:30">
      <c r="A134" s="162"/>
      <c r="B134" s="162"/>
      <c r="C134" s="162"/>
      <c r="D134" s="162"/>
      <c r="E134" s="162"/>
      <c r="F134" s="162"/>
      <c r="G134" s="162"/>
      <c r="H134" s="162"/>
      <c r="I134" s="162"/>
      <c r="J134" s="162"/>
      <c r="K134" s="162"/>
      <c r="L134" s="162"/>
      <c r="M134" s="163"/>
      <c r="N134" s="163"/>
      <c r="O134" s="162"/>
      <c r="P134" s="162"/>
      <c r="Q134" s="162"/>
      <c r="R134" s="162"/>
      <c r="S134" s="162"/>
      <c r="T134" s="162"/>
      <c r="U134" s="162"/>
      <c r="V134" s="162"/>
      <c r="W134" s="162"/>
      <c r="X134" s="162"/>
      <c r="Y134" s="162"/>
      <c r="Z134" s="162"/>
      <c r="AA134" s="162"/>
      <c r="AB134" s="162"/>
      <c r="AC134" s="162"/>
      <c r="AD134" s="162"/>
    </row>
    <row r="135" spans="1:30">
      <c r="A135" s="162"/>
      <c r="B135" s="162"/>
      <c r="C135" s="162"/>
      <c r="D135" s="162"/>
      <c r="E135" s="162"/>
      <c r="F135" s="162"/>
      <c r="G135" s="162"/>
      <c r="H135" s="162"/>
      <c r="I135" s="162"/>
      <c r="J135" s="162"/>
      <c r="K135" s="162"/>
      <c r="L135" s="162"/>
      <c r="M135" s="163"/>
      <c r="N135" s="163"/>
      <c r="O135" s="162"/>
      <c r="P135" s="162"/>
      <c r="Q135" s="162"/>
      <c r="R135" s="162"/>
      <c r="S135" s="162"/>
      <c r="T135" s="162"/>
      <c r="U135" s="162"/>
      <c r="V135" s="162"/>
      <c r="W135" s="162"/>
      <c r="X135" s="162"/>
      <c r="Y135" s="162"/>
      <c r="Z135" s="162"/>
      <c r="AA135" s="162"/>
      <c r="AB135" s="162"/>
      <c r="AC135" s="162"/>
      <c r="AD135" s="162"/>
    </row>
    <row r="136" spans="1:30">
      <c r="A136" s="162"/>
      <c r="B136" s="162"/>
      <c r="C136" s="162"/>
      <c r="D136" s="162"/>
      <c r="E136" s="162"/>
      <c r="F136" s="162"/>
      <c r="G136" s="162"/>
      <c r="H136" s="162"/>
      <c r="I136" s="162"/>
      <c r="J136" s="162"/>
      <c r="K136" s="162"/>
      <c r="L136" s="162"/>
      <c r="M136" s="163"/>
      <c r="N136" s="163"/>
      <c r="O136" s="162"/>
      <c r="P136" s="162"/>
      <c r="Q136" s="162"/>
      <c r="R136" s="162"/>
      <c r="S136" s="162"/>
      <c r="T136" s="162"/>
      <c r="U136" s="162"/>
      <c r="V136" s="162"/>
      <c r="W136" s="162"/>
      <c r="X136" s="162"/>
      <c r="Y136" s="162"/>
      <c r="Z136" s="162"/>
      <c r="AA136" s="162"/>
      <c r="AB136" s="162"/>
      <c r="AC136" s="162"/>
      <c r="AD136" s="162"/>
    </row>
    <row r="137" spans="1:30">
      <c r="A137" s="162"/>
      <c r="B137" s="162"/>
      <c r="C137" s="162"/>
      <c r="D137" s="162"/>
      <c r="E137" s="162"/>
      <c r="F137" s="162"/>
      <c r="G137" s="162"/>
      <c r="H137" s="162"/>
      <c r="I137" s="162"/>
      <c r="J137" s="162"/>
      <c r="K137" s="162"/>
      <c r="L137" s="162"/>
      <c r="M137" s="163"/>
      <c r="N137" s="163"/>
      <c r="O137" s="162"/>
      <c r="P137" s="162"/>
      <c r="Q137" s="162"/>
      <c r="R137" s="162"/>
      <c r="S137" s="162"/>
      <c r="T137" s="162"/>
      <c r="U137" s="162"/>
      <c r="V137" s="162"/>
      <c r="W137" s="162"/>
      <c r="X137" s="162"/>
      <c r="Y137" s="162"/>
      <c r="Z137" s="162"/>
      <c r="AA137" s="162"/>
      <c r="AB137" s="162"/>
      <c r="AC137" s="162"/>
      <c r="AD137" s="162"/>
    </row>
    <row r="138" spans="1:30">
      <c r="A138" s="162"/>
      <c r="B138" s="162"/>
      <c r="C138" s="162"/>
      <c r="D138" s="162"/>
      <c r="E138" s="162"/>
      <c r="F138" s="162"/>
      <c r="G138" s="162"/>
      <c r="H138" s="162"/>
      <c r="I138" s="162"/>
      <c r="J138" s="162"/>
      <c r="K138" s="162"/>
      <c r="L138" s="162"/>
      <c r="M138" s="163"/>
      <c r="N138" s="163"/>
      <c r="O138" s="162"/>
      <c r="P138" s="162"/>
      <c r="Q138" s="162"/>
      <c r="R138" s="162"/>
      <c r="S138" s="162"/>
      <c r="T138" s="162"/>
      <c r="U138" s="162"/>
      <c r="V138" s="162"/>
      <c r="W138" s="162"/>
      <c r="X138" s="162"/>
      <c r="Y138" s="162"/>
      <c r="Z138" s="162"/>
      <c r="AA138" s="162"/>
      <c r="AB138" s="162"/>
      <c r="AC138" s="162"/>
      <c r="AD138" s="162"/>
    </row>
    <row r="139" spans="1:30">
      <c r="A139" s="162"/>
      <c r="B139" s="162"/>
      <c r="C139" s="162"/>
      <c r="D139" s="162"/>
      <c r="E139" s="162"/>
      <c r="F139" s="162"/>
      <c r="G139" s="162"/>
      <c r="H139" s="162"/>
      <c r="I139" s="162"/>
      <c r="J139" s="162"/>
      <c r="K139" s="162"/>
      <c r="L139" s="162"/>
      <c r="M139" s="163"/>
      <c r="N139" s="163"/>
      <c r="O139" s="162"/>
      <c r="P139" s="162"/>
      <c r="Q139" s="162"/>
      <c r="R139" s="162"/>
      <c r="S139" s="162"/>
      <c r="T139" s="162"/>
      <c r="U139" s="162"/>
      <c r="V139" s="162"/>
      <c r="W139" s="162"/>
      <c r="X139" s="162"/>
      <c r="Y139" s="162"/>
      <c r="Z139" s="162"/>
      <c r="AA139" s="162"/>
      <c r="AB139" s="162"/>
      <c r="AC139" s="162"/>
      <c r="AD139" s="162"/>
    </row>
    <row r="140" spans="1:30">
      <c r="A140" s="162"/>
      <c r="B140" s="162"/>
      <c r="C140" s="162"/>
      <c r="D140" s="162"/>
      <c r="E140" s="162"/>
      <c r="F140" s="162"/>
      <c r="G140" s="162"/>
      <c r="H140" s="162"/>
      <c r="I140" s="162"/>
      <c r="J140" s="162"/>
      <c r="K140" s="162"/>
      <c r="L140" s="162"/>
      <c r="M140" s="163"/>
      <c r="N140" s="163"/>
      <c r="O140" s="162"/>
      <c r="P140" s="162"/>
      <c r="Q140" s="162"/>
      <c r="R140" s="162"/>
      <c r="S140" s="162"/>
      <c r="T140" s="162"/>
      <c r="U140" s="162"/>
      <c r="V140" s="162"/>
      <c r="W140" s="162"/>
      <c r="X140" s="162"/>
      <c r="Y140" s="162"/>
      <c r="Z140" s="162"/>
      <c r="AA140" s="162"/>
      <c r="AB140" s="162"/>
      <c r="AC140" s="162"/>
      <c r="AD140" s="162"/>
    </row>
    <row r="141" spans="1:30">
      <c r="A141" s="162"/>
      <c r="B141" s="162"/>
      <c r="C141" s="162"/>
      <c r="D141" s="162"/>
      <c r="E141" s="162"/>
      <c r="F141" s="162"/>
      <c r="G141" s="162"/>
      <c r="H141" s="162"/>
      <c r="I141" s="162"/>
      <c r="J141" s="162"/>
      <c r="K141" s="162"/>
      <c r="L141" s="162"/>
      <c r="M141" s="163"/>
      <c r="N141" s="163"/>
      <c r="O141" s="162"/>
      <c r="P141" s="162"/>
      <c r="Q141" s="162"/>
      <c r="R141" s="162"/>
      <c r="S141" s="162"/>
      <c r="T141" s="162"/>
      <c r="U141" s="162"/>
      <c r="V141" s="162"/>
      <c r="W141" s="162"/>
      <c r="X141" s="162"/>
      <c r="Y141" s="162"/>
      <c r="Z141" s="162"/>
      <c r="AA141" s="162"/>
      <c r="AB141" s="162"/>
      <c r="AC141" s="162"/>
      <c r="AD141" s="162"/>
    </row>
    <row r="142" spans="1:30">
      <c r="A142" s="162"/>
      <c r="B142" s="162"/>
      <c r="C142" s="162"/>
      <c r="D142" s="162"/>
      <c r="E142" s="162"/>
      <c r="F142" s="162"/>
      <c r="G142" s="162"/>
      <c r="H142" s="162"/>
      <c r="I142" s="162"/>
      <c r="J142" s="162"/>
      <c r="K142" s="162"/>
      <c r="L142" s="162"/>
      <c r="M142" s="163"/>
      <c r="N142" s="163"/>
      <c r="O142" s="162"/>
      <c r="P142" s="162"/>
      <c r="Q142" s="162"/>
      <c r="R142" s="162"/>
      <c r="S142" s="162"/>
      <c r="T142" s="162"/>
      <c r="U142" s="162"/>
      <c r="V142" s="162"/>
      <c r="W142" s="162"/>
      <c r="X142" s="162"/>
      <c r="Y142" s="162"/>
      <c r="Z142" s="162"/>
      <c r="AA142" s="162"/>
      <c r="AB142" s="162"/>
      <c r="AC142" s="162"/>
      <c r="AD142" s="162"/>
    </row>
    <row r="143" spans="1:30">
      <c r="A143" s="162"/>
      <c r="B143" s="162"/>
      <c r="C143" s="162"/>
      <c r="D143" s="162"/>
      <c r="E143" s="162"/>
      <c r="F143" s="162"/>
      <c r="G143" s="162"/>
      <c r="H143" s="162"/>
      <c r="I143" s="162"/>
      <c r="J143" s="162"/>
      <c r="K143" s="162"/>
      <c r="L143" s="162"/>
      <c r="M143" s="163"/>
      <c r="N143" s="163"/>
      <c r="O143" s="162"/>
      <c r="P143" s="162"/>
      <c r="Q143" s="162"/>
      <c r="R143" s="162"/>
      <c r="S143" s="162"/>
      <c r="T143" s="162"/>
      <c r="U143" s="162"/>
      <c r="V143" s="162"/>
      <c r="W143" s="162"/>
      <c r="X143" s="162"/>
      <c r="Y143" s="162"/>
      <c r="Z143" s="162"/>
      <c r="AA143" s="162"/>
      <c r="AB143" s="162"/>
      <c r="AC143" s="162"/>
      <c r="AD143" s="162"/>
    </row>
    <row r="144" spans="1:30">
      <c r="A144" s="162"/>
      <c r="B144" s="162"/>
      <c r="C144" s="162"/>
      <c r="D144" s="162"/>
      <c r="E144" s="162"/>
      <c r="F144" s="162"/>
      <c r="G144" s="162"/>
      <c r="H144" s="162"/>
      <c r="I144" s="162"/>
      <c r="J144" s="162"/>
      <c r="K144" s="162"/>
      <c r="L144" s="162"/>
      <c r="M144" s="163"/>
      <c r="N144" s="163"/>
      <c r="O144" s="162"/>
      <c r="P144" s="162"/>
      <c r="Q144" s="162"/>
      <c r="R144" s="162"/>
      <c r="S144" s="162"/>
      <c r="T144" s="162"/>
      <c r="U144" s="162"/>
      <c r="V144" s="162"/>
      <c r="W144" s="162"/>
      <c r="X144" s="162"/>
      <c r="Y144" s="162"/>
      <c r="Z144" s="162"/>
      <c r="AA144" s="162"/>
      <c r="AB144" s="162"/>
      <c r="AC144" s="162"/>
      <c r="AD144" s="162"/>
    </row>
    <row r="145" spans="1:30">
      <c r="A145" s="162"/>
      <c r="B145" s="162"/>
      <c r="C145" s="162"/>
      <c r="D145" s="162"/>
      <c r="E145" s="162"/>
      <c r="F145" s="162"/>
      <c r="G145" s="162"/>
      <c r="H145" s="162"/>
      <c r="I145" s="162"/>
      <c r="J145" s="162"/>
      <c r="K145" s="162"/>
      <c r="L145" s="162"/>
      <c r="M145" s="163"/>
      <c r="N145" s="163"/>
      <c r="O145" s="162"/>
      <c r="P145" s="162"/>
      <c r="Q145" s="162"/>
      <c r="R145" s="162"/>
      <c r="S145" s="162"/>
      <c r="T145" s="162"/>
      <c r="U145" s="162"/>
      <c r="V145" s="162"/>
      <c r="W145" s="162"/>
      <c r="X145" s="162"/>
      <c r="Y145" s="162"/>
      <c r="Z145" s="162"/>
      <c r="AA145" s="162"/>
      <c r="AB145" s="162"/>
      <c r="AC145" s="162"/>
      <c r="AD145" s="162"/>
    </row>
    <row r="146" spans="1:30">
      <c r="A146" s="162"/>
      <c r="B146" s="162"/>
      <c r="C146" s="162"/>
      <c r="D146" s="162"/>
      <c r="E146" s="162"/>
      <c r="F146" s="162"/>
      <c r="G146" s="162"/>
      <c r="H146" s="162"/>
      <c r="I146" s="162"/>
      <c r="J146" s="162"/>
      <c r="K146" s="162"/>
      <c r="L146" s="162"/>
      <c r="M146" s="163"/>
      <c r="N146" s="163"/>
      <c r="O146" s="162"/>
      <c r="P146" s="162"/>
      <c r="Q146" s="162"/>
      <c r="R146" s="162"/>
      <c r="S146" s="162"/>
      <c r="T146" s="162"/>
      <c r="U146" s="162"/>
      <c r="V146" s="162"/>
      <c r="W146" s="162"/>
      <c r="X146" s="162"/>
      <c r="Y146" s="162"/>
      <c r="Z146" s="162"/>
      <c r="AA146" s="162"/>
      <c r="AB146" s="162"/>
      <c r="AC146" s="162"/>
      <c r="AD146" s="162"/>
    </row>
    <row r="147" spans="1:30">
      <c r="A147" s="162"/>
      <c r="B147" s="162"/>
      <c r="C147" s="162"/>
      <c r="D147" s="162"/>
      <c r="E147" s="162"/>
      <c r="F147" s="162"/>
      <c r="G147" s="162"/>
      <c r="H147" s="162"/>
      <c r="I147" s="162"/>
      <c r="J147" s="162"/>
      <c r="K147" s="162"/>
      <c r="L147" s="162"/>
      <c r="M147" s="163"/>
      <c r="N147" s="163"/>
      <c r="O147" s="162"/>
      <c r="P147" s="162"/>
      <c r="Q147" s="162"/>
      <c r="R147" s="162"/>
      <c r="S147" s="162"/>
      <c r="T147" s="162"/>
      <c r="U147" s="162"/>
      <c r="V147" s="162"/>
      <c r="W147" s="162"/>
      <c r="X147" s="162"/>
      <c r="Y147" s="162"/>
      <c r="Z147" s="162"/>
      <c r="AA147" s="162"/>
      <c r="AB147" s="162"/>
      <c r="AC147" s="162"/>
      <c r="AD147" s="162"/>
    </row>
    <row r="148" spans="1:30">
      <c r="A148" s="162"/>
      <c r="B148" s="162"/>
      <c r="C148" s="162"/>
      <c r="D148" s="162"/>
      <c r="E148" s="162"/>
      <c r="F148" s="162"/>
      <c r="G148" s="162"/>
      <c r="H148" s="162"/>
      <c r="I148" s="162"/>
      <c r="J148" s="162"/>
      <c r="K148" s="162"/>
      <c r="L148" s="162"/>
      <c r="M148" s="163"/>
      <c r="N148" s="163"/>
      <c r="O148" s="162"/>
      <c r="P148" s="162"/>
      <c r="Q148" s="162"/>
      <c r="R148" s="162"/>
      <c r="S148" s="162"/>
      <c r="T148" s="162"/>
      <c r="U148" s="162"/>
      <c r="V148" s="162"/>
      <c r="W148" s="162"/>
      <c r="X148" s="162"/>
      <c r="Y148" s="162"/>
      <c r="Z148" s="162"/>
      <c r="AA148" s="162"/>
      <c r="AB148" s="162"/>
      <c r="AC148" s="162"/>
      <c r="AD148" s="162"/>
    </row>
    <row r="149" spans="1:30">
      <c r="A149" s="162"/>
      <c r="B149" s="162"/>
      <c r="C149" s="162"/>
      <c r="D149" s="162"/>
      <c r="E149" s="162"/>
      <c r="F149" s="162"/>
      <c r="G149" s="162"/>
      <c r="H149" s="162"/>
      <c r="I149" s="162"/>
      <c r="J149" s="162"/>
      <c r="K149" s="162"/>
      <c r="L149" s="162"/>
      <c r="M149" s="163"/>
      <c r="N149" s="163"/>
      <c r="O149" s="162"/>
      <c r="P149" s="162"/>
      <c r="Q149" s="162"/>
      <c r="R149" s="162"/>
      <c r="S149" s="162"/>
      <c r="T149" s="162"/>
      <c r="U149" s="162"/>
      <c r="V149" s="162"/>
      <c r="W149" s="162"/>
      <c r="X149" s="162"/>
      <c r="Y149" s="162"/>
      <c r="Z149" s="162"/>
      <c r="AA149" s="162"/>
      <c r="AB149" s="162"/>
      <c r="AC149" s="162"/>
      <c r="AD149" s="162"/>
    </row>
    <row r="150" spans="1:30">
      <c r="A150" s="162"/>
      <c r="B150" s="162"/>
      <c r="C150" s="162"/>
      <c r="D150" s="162"/>
      <c r="E150" s="162"/>
      <c r="F150" s="162"/>
      <c r="G150" s="162"/>
      <c r="H150" s="162"/>
      <c r="I150" s="162"/>
      <c r="J150" s="162"/>
      <c r="K150" s="162"/>
      <c r="L150" s="162"/>
      <c r="M150" s="163"/>
      <c r="N150" s="163"/>
      <c r="O150" s="162"/>
      <c r="P150" s="162"/>
      <c r="Q150" s="162"/>
      <c r="R150" s="162"/>
      <c r="S150" s="162"/>
      <c r="T150" s="162"/>
      <c r="U150" s="162"/>
      <c r="V150" s="162"/>
      <c r="W150" s="162"/>
      <c r="X150" s="162"/>
      <c r="Y150" s="162"/>
      <c r="Z150" s="162"/>
      <c r="AA150" s="162"/>
      <c r="AB150" s="162"/>
      <c r="AC150" s="162"/>
      <c r="AD150" s="162"/>
    </row>
    <row r="151" spans="1:30">
      <c r="A151" s="162"/>
      <c r="B151" s="162"/>
      <c r="C151" s="162"/>
      <c r="D151" s="162"/>
      <c r="E151" s="162"/>
      <c r="F151" s="162"/>
      <c r="G151" s="162"/>
      <c r="H151" s="162"/>
      <c r="I151" s="162"/>
      <c r="J151" s="162"/>
      <c r="K151" s="162"/>
      <c r="L151" s="162"/>
      <c r="M151" s="163"/>
      <c r="N151" s="163"/>
      <c r="O151" s="162"/>
      <c r="P151" s="162"/>
      <c r="Q151" s="162"/>
      <c r="R151" s="162"/>
      <c r="S151" s="162"/>
      <c r="T151" s="162"/>
      <c r="U151" s="162"/>
      <c r="V151" s="162"/>
      <c r="W151" s="162"/>
      <c r="X151" s="162"/>
      <c r="Y151" s="162"/>
      <c r="Z151" s="162"/>
      <c r="AA151" s="162"/>
      <c r="AB151" s="162"/>
      <c r="AC151" s="162"/>
      <c r="AD151" s="162"/>
    </row>
    <row r="152" spans="1:30">
      <c r="A152" s="162"/>
      <c r="B152" s="162"/>
      <c r="C152" s="162"/>
      <c r="D152" s="162"/>
      <c r="E152" s="162"/>
      <c r="F152" s="162"/>
      <c r="G152" s="162"/>
      <c r="H152" s="162"/>
      <c r="I152" s="162"/>
      <c r="J152" s="162"/>
      <c r="K152" s="162"/>
      <c r="L152" s="162"/>
      <c r="M152" s="163"/>
      <c r="N152" s="163"/>
      <c r="O152" s="162"/>
      <c r="P152" s="162"/>
      <c r="Q152" s="162"/>
      <c r="R152" s="162"/>
      <c r="S152" s="162"/>
      <c r="T152" s="162"/>
      <c r="U152" s="162"/>
      <c r="V152" s="162"/>
      <c r="W152" s="162"/>
      <c r="X152" s="162"/>
      <c r="Y152" s="162"/>
      <c r="Z152" s="162"/>
      <c r="AA152" s="162"/>
      <c r="AB152" s="162"/>
      <c r="AC152" s="162"/>
      <c r="AD152" s="162"/>
    </row>
    <row r="153" spans="1:30">
      <c r="A153" s="162"/>
      <c r="B153" s="162"/>
      <c r="C153" s="162"/>
      <c r="D153" s="162"/>
      <c r="E153" s="162"/>
      <c r="F153" s="162"/>
      <c r="G153" s="162"/>
      <c r="H153" s="162"/>
      <c r="I153" s="162"/>
      <c r="J153" s="162"/>
      <c r="K153" s="162"/>
      <c r="L153" s="162"/>
      <c r="M153" s="163"/>
      <c r="N153" s="163"/>
      <c r="O153" s="162"/>
      <c r="P153" s="162"/>
      <c r="Q153" s="162"/>
      <c r="R153" s="162"/>
      <c r="S153" s="162"/>
      <c r="T153" s="162"/>
      <c r="U153" s="162"/>
      <c r="V153" s="162"/>
      <c r="W153" s="162"/>
      <c r="X153" s="162"/>
      <c r="Y153" s="162"/>
      <c r="Z153" s="162"/>
      <c r="AA153" s="162"/>
      <c r="AB153" s="162"/>
      <c r="AC153" s="162"/>
      <c r="AD153" s="162"/>
    </row>
    <row r="154" spans="1:30">
      <c r="A154" s="162"/>
      <c r="B154" s="162"/>
      <c r="C154" s="162"/>
      <c r="D154" s="162"/>
      <c r="E154" s="162"/>
      <c r="F154" s="162"/>
      <c r="G154" s="162"/>
      <c r="H154" s="162"/>
      <c r="I154" s="162"/>
      <c r="J154" s="162"/>
      <c r="K154" s="162"/>
      <c r="L154" s="162"/>
      <c r="M154" s="163"/>
      <c r="N154" s="163"/>
      <c r="O154" s="162"/>
      <c r="P154" s="162"/>
      <c r="Q154" s="162"/>
      <c r="R154" s="162"/>
      <c r="S154" s="162"/>
      <c r="T154" s="162"/>
      <c r="U154" s="162"/>
      <c r="V154" s="162"/>
      <c r="W154" s="162"/>
      <c r="X154" s="162"/>
      <c r="Y154" s="162"/>
      <c r="Z154" s="162"/>
      <c r="AA154" s="162"/>
      <c r="AB154" s="162"/>
      <c r="AC154" s="162"/>
      <c r="AD154" s="162"/>
    </row>
    <row r="155" spans="1:30">
      <c r="A155" s="162"/>
      <c r="B155" s="162"/>
      <c r="C155" s="162"/>
      <c r="D155" s="162"/>
      <c r="E155" s="162"/>
      <c r="F155" s="162"/>
      <c r="G155" s="162"/>
      <c r="H155" s="162"/>
      <c r="I155" s="162"/>
      <c r="J155" s="162"/>
      <c r="K155" s="162"/>
      <c r="L155" s="162"/>
      <c r="M155" s="163"/>
      <c r="N155" s="163"/>
      <c r="O155" s="162"/>
      <c r="P155" s="162"/>
      <c r="Q155" s="162"/>
      <c r="R155" s="162"/>
      <c r="S155" s="162"/>
      <c r="T155" s="162"/>
      <c r="U155" s="162"/>
      <c r="V155" s="162"/>
      <c r="W155" s="162"/>
      <c r="X155" s="162"/>
      <c r="Y155" s="162"/>
      <c r="Z155" s="162"/>
      <c r="AA155" s="162"/>
      <c r="AB155" s="162"/>
      <c r="AC155" s="162"/>
      <c r="AD155" s="162"/>
    </row>
    <row r="156" spans="1:30">
      <c r="A156" s="162"/>
      <c r="B156" s="162"/>
      <c r="C156" s="162"/>
      <c r="D156" s="162"/>
      <c r="E156" s="162"/>
      <c r="F156" s="162"/>
      <c r="G156" s="162"/>
      <c r="H156" s="162"/>
      <c r="I156" s="162"/>
      <c r="J156" s="162"/>
      <c r="K156" s="162"/>
      <c r="L156" s="162"/>
      <c r="M156" s="163"/>
      <c r="N156" s="163"/>
      <c r="O156" s="162"/>
      <c r="P156" s="162"/>
      <c r="Q156" s="162"/>
      <c r="R156" s="162"/>
      <c r="S156" s="162"/>
      <c r="T156" s="162"/>
      <c r="U156" s="162"/>
      <c r="V156" s="162"/>
      <c r="W156" s="162"/>
      <c r="X156" s="162"/>
      <c r="Y156" s="162"/>
      <c r="Z156" s="162"/>
      <c r="AA156" s="162"/>
      <c r="AB156" s="162"/>
      <c r="AC156" s="162"/>
      <c r="AD156" s="162"/>
    </row>
    <row r="157" spans="1:30">
      <c r="A157" s="162"/>
      <c r="B157" s="162"/>
      <c r="C157" s="162"/>
      <c r="D157" s="162"/>
      <c r="E157" s="162"/>
      <c r="F157" s="162"/>
      <c r="G157" s="162"/>
      <c r="H157" s="162"/>
      <c r="I157" s="162"/>
      <c r="J157" s="162"/>
      <c r="K157" s="162"/>
      <c r="L157" s="162"/>
      <c r="M157" s="163"/>
      <c r="N157" s="163"/>
      <c r="O157" s="162"/>
      <c r="P157" s="162"/>
      <c r="Q157" s="162"/>
      <c r="R157" s="162"/>
      <c r="S157" s="162"/>
      <c r="T157" s="162"/>
      <c r="U157" s="162"/>
      <c r="V157" s="162"/>
      <c r="W157" s="162"/>
      <c r="X157" s="162"/>
      <c r="Y157" s="162"/>
      <c r="Z157" s="162"/>
      <c r="AA157" s="162"/>
      <c r="AB157" s="162"/>
      <c r="AC157" s="162"/>
      <c r="AD157" s="162"/>
    </row>
    <row r="158" spans="1:30">
      <c r="A158" s="162"/>
      <c r="B158" s="162"/>
      <c r="C158" s="162"/>
      <c r="D158" s="162"/>
      <c r="E158" s="162"/>
      <c r="F158" s="162"/>
      <c r="G158" s="162"/>
      <c r="H158" s="162"/>
      <c r="I158" s="162"/>
      <c r="J158" s="162"/>
      <c r="K158" s="162"/>
      <c r="L158" s="162"/>
      <c r="M158" s="163"/>
      <c r="N158" s="163"/>
      <c r="O158" s="162"/>
      <c r="P158" s="162"/>
      <c r="Q158" s="162"/>
      <c r="R158" s="162"/>
      <c r="S158" s="162"/>
      <c r="T158" s="162"/>
      <c r="U158" s="162"/>
      <c r="V158" s="162"/>
      <c r="W158" s="162"/>
      <c r="X158" s="162"/>
      <c r="Y158" s="162"/>
      <c r="Z158" s="162"/>
      <c r="AA158" s="162"/>
      <c r="AB158" s="162"/>
      <c r="AC158" s="162"/>
      <c r="AD158" s="162"/>
    </row>
    <row r="159" spans="1:30">
      <c r="A159" s="162"/>
      <c r="B159" s="162"/>
      <c r="C159" s="162"/>
      <c r="D159" s="162"/>
      <c r="E159" s="162"/>
      <c r="F159" s="162"/>
      <c r="G159" s="162"/>
      <c r="H159" s="162"/>
      <c r="I159" s="162"/>
      <c r="J159" s="162"/>
      <c r="K159" s="162"/>
      <c r="L159" s="162"/>
      <c r="M159" s="163"/>
      <c r="N159" s="163"/>
      <c r="O159" s="162"/>
      <c r="P159" s="162"/>
      <c r="Q159" s="162"/>
      <c r="R159" s="162"/>
      <c r="S159" s="162"/>
      <c r="T159" s="162"/>
      <c r="U159" s="162"/>
      <c r="V159" s="162"/>
      <c r="W159" s="162"/>
      <c r="X159" s="162"/>
      <c r="Y159" s="162"/>
      <c r="Z159" s="162"/>
      <c r="AA159" s="162"/>
      <c r="AB159" s="162"/>
      <c r="AC159" s="162"/>
      <c r="AD159" s="162"/>
    </row>
    <row r="160" spans="1:30">
      <c r="A160" s="162"/>
      <c r="B160" s="162"/>
      <c r="C160" s="162"/>
      <c r="D160" s="162"/>
      <c r="E160" s="162"/>
      <c r="F160" s="162"/>
      <c r="G160" s="162"/>
      <c r="H160" s="162"/>
      <c r="I160" s="162"/>
      <c r="J160" s="162"/>
      <c r="K160" s="162"/>
      <c r="L160" s="162"/>
      <c r="M160" s="163"/>
      <c r="N160" s="163"/>
      <c r="O160" s="162"/>
      <c r="P160" s="162"/>
      <c r="Q160" s="162"/>
      <c r="R160" s="162"/>
      <c r="S160" s="162"/>
      <c r="T160" s="162"/>
      <c r="U160" s="162"/>
      <c r="V160" s="162"/>
      <c r="W160" s="162"/>
      <c r="X160" s="162"/>
      <c r="Y160" s="162"/>
      <c r="Z160" s="162"/>
      <c r="AA160" s="162"/>
      <c r="AB160" s="162"/>
      <c r="AC160" s="162"/>
      <c r="AD160" s="162"/>
    </row>
    <row r="161" spans="1:30">
      <c r="A161" s="162"/>
      <c r="B161" s="162"/>
      <c r="C161" s="162"/>
      <c r="D161" s="162"/>
      <c r="E161" s="162"/>
      <c r="F161" s="162"/>
      <c r="G161" s="162"/>
      <c r="H161" s="162"/>
      <c r="I161" s="162"/>
      <c r="J161" s="162"/>
      <c r="K161" s="162"/>
      <c r="L161" s="162"/>
      <c r="M161" s="163"/>
      <c r="N161" s="163"/>
      <c r="O161" s="162"/>
      <c r="P161" s="162"/>
      <c r="Q161" s="162"/>
      <c r="R161" s="162"/>
      <c r="S161" s="162"/>
      <c r="T161" s="162"/>
      <c r="U161" s="162"/>
      <c r="V161" s="162"/>
      <c r="W161" s="162"/>
      <c r="X161" s="162"/>
      <c r="Y161" s="162"/>
      <c r="Z161" s="162"/>
      <c r="AA161" s="162"/>
      <c r="AB161" s="162"/>
      <c r="AC161" s="162"/>
      <c r="AD161" s="162"/>
    </row>
    <row r="162" spans="1:30">
      <c r="A162" s="162"/>
      <c r="B162" s="162"/>
      <c r="C162" s="162"/>
      <c r="D162" s="162"/>
      <c r="E162" s="162"/>
      <c r="F162" s="162"/>
      <c r="G162" s="162"/>
      <c r="H162" s="162"/>
      <c r="I162" s="162"/>
      <c r="J162" s="162"/>
      <c r="K162" s="162"/>
      <c r="L162" s="162"/>
      <c r="M162" s="163"/>
      <c r="N162" s="163"/>
      <c r="O162" s="162"/>
      <c r="P162" s="162"/>
      <c r="Q162" s="162"/>
      <c r="R162" s="162"/>
      <c r="S162" s="162"/>
      <c r="T162" s="162"/>
      <c r="U162" s="162"/>
      <c r="V162" s="162"/>
      <c r="W162" s="162"/>
      <c r="X162" s="162"/>
      <c r="Y162" s="162"/>
      <c r="Z162" s="162"/>
      <c r="AA162" s="162"/>
      <c r="AB162" s="162"/>
      <c r="AC162" s="162"/>
      <c r="AD162" s="162"/>
    </row>
    <row r="163" spans="1:30">
      <c r="A163" s="162"/>
      <c r="B163" s="162"/>
      <c r="C163" s="162"/>
      <c r="D163" s="162"/>
      <c r="E163" s="162"/>
      <c r="F163" s="162"/>
      <c r="G163" s="162"/>
      <c r="H163" s="162"/>
      <c r="I163" s="162"/>
      <c r="J163" s="162"/>
      <c r="K163" s="162"/>
      <c r="L163" s="162"/>
      <c r="M163" s="163"/>
      <c r="N163" s="163"/>
      <c r="O163" s="162"/>
      <c r="P163" s="162"/>
      <c r="Q163" s="162"/>
      <c r="R163" s="162"/>
      <c r="S163" s="162"/>
      <c r="T163" s="162"/>
      <c r="U163" s="162"/>
      <c r="V163" s="162"/>
      <c r="W163" s="162"/>
      <c r="X163" s="162"/>
      <c r="Y163" s="162"/>
      <c r="Z163" s="162"/>
      <c r="AA163" s="162"/>
      <c r="AB163" s="162"/>
      <c r="AC163" s="162"/>
      <c r="AD163" s="162"/>
    </row>
    <row r="164" spans="1:30">
      <c r="A164" s="162"/>
      <c r="B164" s="162"/>
      <c r="C164" s="162"/>
      <c r="D164" s="162"/>
      <c r="E164" s="162"/>
      <c r="F164" s="162"/>
      <c r="G164" s="162"/>
      <c r="H164" s="162"/>
      <c r="I164" s="162"/>
      <c r="J164" s="162"/>
      <c r="K164" s="162"/>
      <c r="L164" s="162"/>
      <c r="M164" s="163"/>
      <c r="N164" s="163"/>
      <c r="O164" s="162"/>
      <c r="P164" s="162"/>
      <c r="Q164" s="162"/>
      <c r="R164" s="162"/>
      <c r="S164" s="162"/>
      <c r="T164" s="162"/>
      <c r="U164" s="162"/>
      <c r="V164" s="162"/>
      <c r="W164" s="162"/>
      <c r="X164" s="162"/>
      <c r="Y164" s="162"/>
      <c r="Z164" s="162"/>
      <c r="AA164" s="162"/>
      <c r="AB164" s="162"/>
      <c r="AC164" s="162"/>
      <c r="AD164" s="162"/>
    </row>
    <row r="165" spans="1:30">
      <c r="A165" s="162"/>
      <c r="B165" s="162"/>
      <c r="C165" s="162"/>
      <c r="D165" s="162"/>
      <c r="E165" s="162"/>
      <c r="F165" s="162"/>
      <c r="G165" s="162"/>
      <c r="H165" s="162"/>
      <c r="I165" s="162"/>
      <c r="J165" s="162"/>
      <c r="K165" s="162"/>
      <c r="L165" s="162"/>
      <c r="M165" s="163"/>
      <c r="N165" s="163"/>
      <c r="O165" s="162"/>
      <c r="P165" s="162"/>
      <c r="Q165" s="162"/>
      <c r="R165" s="162"/>
      <c r="S165" s="162"/>
      <c r="T165" s="162"/>
      <c r="U165" s="162"/>
      <c r="V165" s="162"/>
      <c r="W165" s="162"/>
      <c r="X165" s="162"/>
      <c r="Y165" s="162"/>
      <c r="Z165" s="162"/>
      <c r="AA165" s="162"/>
      <c r="AB165" s="162"/>
      <c r="AC165" s="162"/>
      <c r="AD165" s="162"/>
    </row>
    <row r="166" spans="1:30">
      <c r="A166" s="162"/>
      <c r="B166" s="162"/>
      <c r="C166" s="162"/>
      <c r="D166" s="162"/>
      <c r="E166" s="162"/>
      <c r="F166" s="162"/>
      <c r="G166" s="162"/>
      <c r="H166" s="162"/>
      <c r="I166" s="162"/>
      <c r="J166" s="162"/>
      <c r="K166" s="162"/>
      <c r="L166" s="162"/>
      <c r="M166" s="163"/>
      <c r="N166" s="163"/>
      <c r="O166" s="162"/>
      <c r="P166" s="162"/>
      <c r="Q166" s="162"/>
      <c r="R166" s="162"/>
      <c r="S166" s="162"/>
      <c r="T166" s="162"/>
      <c r="U166" s="162"/>
      <c r="V166" s="162"/>
      <c r="W166" s="162"/>
      <c r="X166" s="162"/>
      <c r="Y166" s="162"/>
      <c r="Z166" s="162"/>
      <c r="AA166" s="162"/>
      <c r="AB166" s="162"/>
      <c r="AC166" s="162"/>
      <c r="AD166" s="162"/>
    </row>
    <row r="167" spans="1:30">
      <c r="A167" s="162"/>
      <c r="B167" s="162"/>
      <c r="C167" s="162"/>
      <c r="D167" s="162"/>
      <c r="E167" s="162"/>
      <c r="F167" s="162"/>
      <c r="G167" s="162"/>
      <c r="H167" s="162"/>
      <c r="I167" s="162"/>
      <c r="J167" s="162"/>
      <c r="K167" s="162"/>
      <c r="L167" s="162"/>
      <c r="M167" s="163"/>
      <c r="N167" s="163"/>
      <c r="O167" s="162"/>
      <c r="P167" s="162"/>
      <c r="Q167" s="162"/>
      <c r="R167" s="162"/>
      <c r="S167" s="162"/>
      <c r="T167" s="162"/>
      <c r="U167" s="162"/>
      <c r="V167" s="162"/>
      <c r="W167" s="162"/>
      <c r="X167" s="162"/>
      <c r="Y167" s="162"/>
      <c r="Z167" s="162"/>
      <c r="AA167" s="162"/>
      <c r="AB167" s="162"/>
      <c r="AC167" s="162"/>
      <c r="AD167" s="162"/>
    </row>
    <row r="168" spans="1:30">
      <c r="A168" s="162"/>
      <c r="B168" s="162"/>
      <c r="C168" s="162"/>
      <c r="D168" s="162"/>
      <c r="E168" s="162"/>
      <c r="F168" s="162"/>
      <c r="G168" s="162"/>
      <c r="H168" s="162"/>
      <c r="I168" s="162"/>
      <c r="J168" s="162"/>
      <c r="K168" s="162"/>
      <c r="L168" s="162"/>
      <c r="M168" s="163"/>
      <c r="N168" s="163"/>
      <c r="O168" s="162"/>
      <c r="P168" s="162"/>
      <c r="Q168" s="162"/>
      <c r="R168" s="162"/>
      <c r="S168" s="162"/>
      <c r="T168" s="162"/>
      <c r="U168" s="162"/>
      <c r="V168" s="162"/>
      <c r="W168" s="162"/>
      <c r="X168" s="162"/>
      <c r="Y168" s="162"/>
      <c r="Z168" s="162"/>
      <c r="AA168" s="162"/>
      <c r="AB168" s="162"/>
      <c r="AC168" s="162"/>
      <c r="AD168" s="162"/>
    </row>
    <row r="169" spans="1:30">
      <c r="A169" s="162"/>
      <c r="B169" s="162"/>
      <c r="C169" s="162"/>
      <c r="D169" s="162"/>
      <c r="E169" s="162"/>
      <c r="F169" s="162"/>
      <c r="G169" s="162"/>
      <c r="H169" s="162"/>
      <c r="I169" s="162"/>
      <c r="J169" s="162"/>
      <c r="K169" s="162"/>
      <c r="L169" s="162"/>
      <c r="M169" s="163"/>
      <c r="N169" s="163"/>
      <c r="O169" s="162"/>
      <c r="P169" s="162"/>
      <c r="Q169" s="162"/>
      <c r="R169" s="162"/>
      <c r="S169" s="162"/>
      <c r="T169" s="162"/>
      <c r="U169" s="162"/>
      <c r="V169" s="162"/>
      <c r="W169" s="162"/>
      <c r="X169" s="162"/>
      <c r="Y169" s="162"/>
      <c r="Z169" s="162"/>
      <c r="AA169" s="162"/>
      <c r="AB169" s="162"/>
      <c r="AC169" s="162"/>
      <c r="AD169" s="162"/>
    </row>
    <row r="170" spans="1:30">
      <c r="A170" s="162"/>
      <c r="B170" s="162"/>
      <c r="C170" s="162"/>
      <c r="D170" s="162"/>
      <c r="E170" s="162"/>
      <c r="F170" s="162"/>
      <c r="G170" s="162"/>
      <c r="H170" s="162"/>
      <c r="I170" s="162"/>
      <c r="J170" s="162"/>
      <c r="K170" s="162"/>
      <c r="L170" s="162"/>
      <c r="M170" s="163"/>
      <c r="N170" s="163"/>
      <c r="O170" s="162"/>
      <c r="P170" s="162"/>
      <c r="Q170" s="162"/>
      <c r="R170" s="162"/>
      <c r="S170" s="162"/>
      <c r="T170" s="162"/>
      <c r="U170" s="162"/>
      <c r="V170" s="162"/>
      <c r="W170" s="162"/>
      <c r="X170" s="162"/>
      <c r="Y170" s="162"/>
      <c r="Z170" s="162"/>
      <c r="AA170" s="162"/>
      <c r="AB170" s="162"/>
      <c r="AC170" s="162"/>
      <c r="AD170" s="162"/>
    </row>
    <row r="171" spans="1:30">
      <c r="A171" s="162"/>
      <c r="B171" s="162"/>
      <c r="C171" s="162"/>
      <c r="D171" s="162"/>
      <c r="E171" s="162"/>
      <c r="F171" s="162"/>
      <c r="G171" s="162"/>
      <c r="H171" s="162"/>
      <c r="I171" s="162"/>
      <c r="J171" s="162"/>
      <c r="K171" s="162"/>
      <c r="L171" s="162"/>
      <c r="M171" s="163"/>
      <c r="N171" s="163"/>
      <c r="O171" s="162"/>
      <c r="P171" s="162"/>
      <c r="Q171" s="162"/>
      <c r="R171" s="162"/>
      <c r="S171" s="162"/>
      <c r="T171" s="162"/>
      <c r="U171" s="162"/>
      <c r="V171" s="162"/>
      <c r="W171" s="162"/>
      <c r="X171" s="162"/>
      <c r="Y171" s="162"/>
      <c r="Z171" s="162"/>
      <c r="AA171" s="162"/>
      <c r="AB171" s="162"/>
      <c r="AC171" s="162"/>
      <c r="AD171" s="162"/>
    </row>
    <row r="172" spans="1:30">
      <c r="A172" s="162"/>
      <c r="B172" s="162"/>
      <c r="C172" s="162"/>
      <c r="D172" s="162"/>
      <c r="E172" s="162"/>
      <c r="F172" s="162"/>
      <c r="G172" s="162"/>
      <c r="H172" s="162"/>
      <c r="I172" s="162"/>
      <c r="J172" s="162"/>
      <c r="K172" s="162"/>
      <c r="L172" s="162"/>
      <c r="M172" s="163"/>
      <c r="N172" s="163"/>
      <c r="O172" s="162"/>
      <c r="P172" s="162"/>
      <c r="Q172" s="162"/>
      <c r="R172" s="162"/>
      <c r="S172" s="162"/>
      <c r="T172" s="162"/>
      <c r="U172" s="162"/>
      <c r="V172" s="162"/>
      <c r="W172" s="162"/>
      <c r="X172" s="162"/>
      <c r="Y172" s="162"/>
      <c r="Z172" s="162"/>
      <c r="AA172" s="162"/>
      <c r="AB172" s="162"/>
      <c r="AC172" s="162"/>
      <c r="AD172" s="162"/>
    </row>
    <row r="173" spans="1:30">
      <c r="A173" s="162"/>
      <c r="B173" s="162"/>
      <c r="C173" s="162"/>
      <c r="D173" s="162"/>
      <c r="E173" s="162"/>
      <c r="F173" s="162"/>
      <c r="G173" s="162"/>
      <c r="H173" s="162"/>
      <c r="I173" s="162"/>
      <c r="J173" s="162"/>
      <c r="K173" s="162"/>
      <c r="L173" s="162"/>
      <c r="M173" s="163"/>
      <c r="N173" s="163"/>
      <c r="O173" s="162"/>
      <c r="P173" s="162"/>
      <c r="Q173" s="162"/>
      <c r="R173" s="162"/>
      <c r="S173" s="162"/>
      <c r="T173" s="162"/>
      <c r="U173" s="162"/>
      <c r="V173" s="162"/>
      <c r="W173" s="162"/>
      <c r="X173" s="162"/>
      <c r="Y173" s="162"/>
      <c r="Z173" s="162"/>
      <c r="AA173" s="162"/>
      <c r="AB173" s="162"/>
      <c r="AC173" s="162"/>
      <c r="AD173" s="162"/>
    </row>
    <row r="174" spans="1:30">
      <c r="A174" s="162"/>
      <c r="B174" s="162"/>
      <c r="C174" s="162"/>
      <c r="D174" s="162"/>
      <c r="E174" s="162"/>
      <c r="F174" s="162"/>
      <c r="G174" s="162"/>
      <c r="H174" s="162"/>
      <c r="I174" s="162"/>
      <c r="J174" s="162"/>
      <c r="K174" s="162"/>
      <c r="L174" s="162"/>
      <c r="M174" s="163"/>
      <c r="N174" s="163"/>
      <c r="O174" s="162"/>
      <c r="P174" s="162"/>
      <c r="Q174" s="162"/>
      <c r="R174" s="162"/>
      <c r="S174" s="162"/>
      <c r="T174" s="162"/>
      <c r="U174" s="162"/>
      <c r="V174" s="162"/>
      <c r="W174" s="162"/>
      <c r="X174" s="162"/>
      <c r="Y174" s="162"/>
      <c r="Z174" s="162"/>
      <c r="AA174" s="162"/>
      <c r="AB174" s="162"/>
      <c r="AC174" s="162"/>
      <c r="AD174" s="162"/>
    </row>
    <row r="175" spans="1:30">
      <c r="A175" s="162"/>
      <c r="B175" s="162"/>
      <c r="C175" s="162"/>
      <c r="D175" s="162"/>
      <c r="E175" s="162"/>
      <c r="F175" s="162"/>
      <c r="G175" s="162"/>
      <c r="H175" s="162"/>
      <c r="I175" s="162"/>
      <c r="J175" s="162"/>
      <c r="K175" s="162"/>
      <c r="L175" s="162"/>
      <c r="M175" s="163"/>
      <c r="N175" s="163"/>
      <c r="O175" s="162"/>
      <c r="P175" s="162"/>
      <c r="Q175" s="162"/>
      <c r="R175" s="162"/>
      <c r="S175" s="162"/>
      <c r="T175" s="162"/>
      <c r="U175" s="162"/>
      <c r="V175" s="162"/>
      <c r="W175" s="162"/>
      <c r="X175" s="162"/>
      <c r="Y175" s="162"/>
      <c r="Z175" s="162"/>
      <c r="AA175" s="162"/>
      <c r="AB175" s="162"/>
      <c r="AC175" s="162"/>
      <c r="AD175" s="162"/>
    </row>
    <row r="176" spans="1:30">
      <c r="A176" s="162"/>
      <c r="B176" s="162"/>
      <c r="C176" s="162"/>
      <c r="D176" s="162"/>
      <c r="E176" s="162"/>
      <c r="F176" s="162"/>
      <c r="G176" s="162"/>
      <c r="H176" s="162"/>
      <c r="I176" s="162"/>
      <c r="J176" s="162"/>
      <c r="K176" s="162"/>
      <c r="L176" s="162"/>
      <c r="M176" s="163"/>
      <c r="N176" s="163"/>
      <c r="O176" s="162"/>
      <c r="P176" s="162"/>
      <c r="Q176" s="162"/>
      <c r="R176" s="162"/>
      <c r="S176" s="162"/>
      <c r="T176" s="162"/>
      <c r="U176" s="162"/>
      <c r="V176" s="162"/>
      <c r="W176" s="162"/>
      <c r="X176" s="162"/>
      <c r="Y176" s="162"/>
      <c r="Z176" s="162"/>
      <c r="AA176" s="162"/>
      <c r="AB176" s="162"/>
      <c r="AC176" s="162"/>
      <c r="AD176" s="162"/>
    </row>
    <row r="177" spans="1:30">
      <c r="A177" s="162"/>
      <c r="B177" s="162"/>
      <c r="C177" s="162"/>
      <c r="D177" s="162"/>
      <c r="E177" s="162"/>
      <c r="F177" s="162"/>
      <c r="G177" s="162"/>
      <c r="H177" s="162"/>
      <c r="I177" s="162"/>
      <c r="J177" s="162"/>
      <c r="K177" s="162"/>
      <c r="L177" s="162"/>
      <c r="M177" s="163"/>
      <c r="N177" s="163"/>
      <c r="O177" s="162"/>
      <c r="P177" s="162"/>
      <c r="Q177" s="162"/>
      <c r="R177" s="162"/>
      <c r="S177" s="162"/>
      <c r="T177" s="162"/>
      <c r="U177" s="162"/>
      <c r="V177" s="162"/>
      <c r="W177" s="162"/>
      <c r="X177" s="162"/>
      <c r="Y177" s="162"/>
      <c r="Z177" s="162"/>
      <c r="AA177" s="162"/>
      <c r="AB177" s="162"/>
      <c r="AC177" s="162"/>
      <c r="AD177" s="162"/>
    </row>
    <row r="178" spans="1:30">
      <c r="A178" s="162"/>
      <c r="B178" s="162"/>
      <c r="C178" s="162"/>
      <c r="D178" s="162"/>
      <c r="E178" s="162"/>
      <c r="F178" s="162"/>
      <c r="G178" s="162"/>
      <c r="H178" s="162"/>
      <c r="I178" s="162"/>
      <c r="J178" s="162"/>
      <c r="K178" s="162"/>
      <c r="L178" s="162"/>
      <c r="M178" s="163"/>
      <c r="N178" s="163"/>
      <c r="O178" s="162"/>
      <c r="P178" s="162"/>
      <c r="Q178" s="162"/>
      <c r="R178" s="162"/>
      <c r="S178" s="162"/>
      <c r="T178" s="162"/>
      <c r="U178" s="162"/>
      <c r="V178" s="162"/>
      <c r="W178" s="162"/>
      <c r="X178" s="162"/>
      <c r="Y178" s="162"/>
      <c r="Z178" s="162"/>
      <c r="AA178" s="162"/>
      <c r="AB178" s="162"/>
      <c r="AC178" s="162"/>
      <c r="AD178" s="162"/>
    </row>
    <row r="179" spans="1:30">
      <c r="A179" s="162"/>
      <c r="B179" s="162"/>
      <c r="C179" s="162"/>
      <c r="D179" s="162"/>
      <c r="E179" s="162"/>
      <c r="F179" s="162"/>
      <c r="G179" s="162"/>
      <c r="H179" s="162"/>
      <c r="I179" s="162"/>
      <c r="J179" s="162"/>
      <c r="K179" s="162"/>
      <c r="L179" s="162"/>
      <c r="M179" s="163"/>
      <c r="N179" s="163"/>
      <c r="O179" s="162"/>
      <c r="P179" s="162"/>
      <c r="Q179" s="162"/>
      <c r="R179" s="162"/>
      <c r="S179" s="162"/>
      <c r="T179" s="162"/>
      <c r="U179" s="162"/>
      <c r="V179" s="162"/>
      <c r="W179" s="162"/>
      <c r="X179" s="162"/>
      <c r="Y179" s="162"/>
      <c r="Z179" s="162"/>
      <c r="AA179" s="162"/>
      <c r="AB179" s="162"/>
      <c r="AC179" s="162"/>
      <c r="AD179" s="162"/>
    </row>
    <row r="180" spans="1:30">
      <c r="A180" s="162"/>
      <c r="B180" s="162"/>
      <c r="C180" s="162"/>
      <c r="D180" s="162"/>
      <c r="E180" s="162"/>
      <c r="F180" s="162"/>
      <c r="G180" s="162"/>
      <c r="H180" s="162"/>
      <c r="I180" s="162"/>
      <c r="J180" s="162"/>
      <c r="K180" s="162"/>
      <c r="L180" s="162"/>
      <c r="M180" s="163"/>
      <c r="N180" s="163"/>
      <c r="O180" s="162"/>
      <c r="P180" s="162"/>
      <c r="Q180" s="162"/>
      <c r="R180" s="162"/>
      <c r="S180" s="162"/>
      <c r="T180" s="162"/>
      <c r="U180" s="162"/>
      <c r="V180" s="162"/>
      <c r="W180" s="162"/>
      <c r="X180" s="162"/>
      <c r="Y180" s="162"/>
      <c r="Z180" s="162"/>
      <c r="AA180" s="162"/>
      <c r="AB180" s="162"/>
      <c r="AC180" s="162"/>
      <c r="AD180" s="162"/>
    </row>
    <row r="181" spans="1:30">
      <c r="A181" s="162"/>
      <c r="B181" s="162"/>
      <c r="C181" s="162"/>
      <c r="D181" s="162"/>
      <c r="E181" s="162"/>
      <c r="F181" s="162"/>
      <c r="G181" s="162"/>
      <c r="H181" s="162"/>
      <c r="I181" s="162"/>
      <c r="J181" s="162"/>
      <c r="K181" s="162"/>
      <c r="L181" s="162"/>
      <c r="M181" s="163"/>
      <c r="N181" s="163"/>
      <c r="O181" s="162"/>
      <c r="P181" s="162"/>
      <c r="Q181" s="162"/>
      <c r="R181" s="162"/>
      <c r="S181" s="162"/>
      <c r="T181" s="162"/>
      <c r="U181" s="162"/>
      <c r="V181" s="162"/>
      <c r="W181" s="162"/>
      <c r="X181" s="162"/>
      <c r="Y181" s="162"/>
      <c r="Z181" s="162"/>
      <c r="AA181" s="162"/>
      <c r="AB181" s="162"/>
      <c r="AC181" s="162"/>
      <c r="AD181" s="162"/>
    </row>
    <row r="182" spans="1:30">
      <c r="A182" s="162"/>
      <c r="B182" s="162"/>
      <c r="C182" s="162"/>
      <c r="D182" s="162"/>
      <c r="E182" s="162"/>
      <c r="F182" s="162"/>
      <c r="G182" s="162"/>
      <c r="H182" s="162"/>
      <c r="I182" s="162"/>
      <c r="J182" s="162"/>
      <c r="K182" s="162"/>
      <c r="L182" s="162"/>
      <c r="M182" s="163"/>
      <c r="N182" s="163"/>
      <c r="O182" s="162"/>
      <c r="P182" s="162"/>
      <c r="Q182" s="162"/>
      <c r="R182" s="162"/>
      <c r="S182" s="162"/>
      <c r="T182" s="162"/>
      <c r="U182" s="162"/>
      <c r="V182" s="162"/>
      <c r="W182" s="162"/>
      <c r="X182" s="162"/>
      <c r="Y182" s="162"/>
      <c r="Z182" s="162"/>
      <c r="AA182" s="162"/>
      <c r="AB182" s="162"/>
      <c r="AC182" s="162"/>
      <c r="AD182" s="162"/>
    </row>
    <row r="183" spans="1:30">
      <c r="A183" s="162"/>
      <c r="B183" s="162"/>
      <c r="C183" s="162"/>
      <c r="D183" s="162"/>
      <c r="E183" s="162"/>
      <c r="F183" s="162"/>
      <c r="G183" s="162"/>
      <c r="H183" s="162"/>
      <c r="I183" s="162"/>
      <c r="J183" s="162"/>
      <c r="K183" s="162"/>
      <c r="L183" s="162"/>
      <c r="M183" s="163"/>
      <c r="N183" s="163"/>
      <c r="O183" s="162"/>
      <c r="P183" s="162"/>
      <c r="Q183" s="162"/>
      <c r="R183" s="162"/>
      <c r="S183" s="162"/>
      <c r="T183" s="162"/>
      <c r="U183" s="162"/>
      <c r="V183" s="162"/>
      <c r="W183" s="162"/>
      <c r="X183" s="162"/>
      <c r="Y183" s="162"/>
      <c r="Z183" s="162"/>
      <c r="AA183" s="162"/>
      <c r="AB183" s="162"/>
      <c r="AC183" s="162"/>
      <c r="AD183" s="162"/>
    </row>
    <row r="184" spans="1:30">
      <c r="A184" s="162"/>
      <c r="B184" s="162"/>
      <c r="C184" s="162"/>
      <c r="D184" s="162"/>
      <c r="E184" s="162"/>
      <c r="F184" s="162"/>
      <c r="G184" s="162"/>
      <c r="H184" s="162"/>
      <c r="I184" s="162"/>
      <c r="J184" s="162"/>
      <c r="K184" s="162"/>
      <c r="L184" s="162"/>
      <c r="M184" s="163"/>
      <c r="N184" s="163"/>
      <c r="O184" s="162"/>
      <c r="P184" s="162"/>
      <c r="Q184" s="162"/>
      <c r="R184" s="162"/>
      <c r="S184" s="162"/>
      <c r="T184" s="162"/>
      <c r="U184" s="162"/>
      <c r="V184" s="162"/>
      <c r="W184" s="162"/>
      <c r="X184" s="162"/>
      <c r="Y184" s="162"/>
      <c r="Z184" s="162"/>
      <c r="AA184" s="162"/>
      <c r="AB184" s="162"/>
      <c r="AC184" s="162"/>
      <c r="AD184" s="162"/>
    </row>
    <row r="185" spans="1:30">
      <c r="A185" s="162"/>
      <c r="B185" s="162"/>
      <c r="C185" s="162"/>
      <c r="D185" s="162"/>
      <c r="E185" s="162"/>
      <c r="F185" s="162"/>
      <c r="G185" s="162"/>
      <c r="H185" s="162"/>
      <c r="I185" s="162"/>
      <c r="J185" s="162"/>
      <c r="K185" s="162"/>
      <c r="L185" s="162"/>
      <c r="M185" s="163"/>
      <c r="N185" s="163"/>
      <c r="O185" s="162"/>
      <c r="P185" s="162"/>
      <c r="Q185" s="162"/>
      <c r="R185" s="162"/>
      <c r="S185" s="162"/>
      <c r="T185" s="162"/>
      <c r="U185" s="162"/>
      <c r="V185" s="162"/>
      <c r="W185" s="162"/>
      <c r="X185" s="162"/>
      <c r="Y185" s="162"/>
      <c r="Z185" s="162"/>
      <c r="AA185" s="162"/>
      <c r="AB185" s="162"/>
      <c r="AC185" s="162"/>
      <c r="AD185" s="162"/>
    </row>
    <row r="186" spans="1:30">
      <c r="A186" s="162"/>
      <c r="B186" s="162"/>
      <c r="C186" s="162"/>
      <c r="D186" s="162"/>
      <c r="E186" s="162"/>
      <c r="F186" s="162"/>
      <c r="G186" s="162"/>
      <c r="H186" s="162"/>
      <c r="I186" s="162"/>
      <c r="J186" s="162"/>
      <c r="K186" s="162"/>
      <c r="L186" s="162"/>
      <c r="M186" s="163"/>
      <c r="N186" s="163"/>
      <c r="O186" s="162"/>
      <c r="P186" s="162"/>
      <c r="Q186" s="162"/>
      <c r="R186" s="162"/>
      <c r="S186" s="162"/>
      <c r="T186" s="162"/>
      <c r="U186" s="162"/>
      <c r="V186" s="162"/>
      <c r="W186" s="162"/>
      <c r="X186" s="162"/>
      <c r="Y186" s="162"/>
      <c r="Z186" s="162"/>
      <c r="AA186" s="162"/>
      <c r="AB186" s="162"/>
      <c r="AC186" s="162"/>
      <c r="AD186" s="162"/>
    </row>
    <row r="187" spans="1:30">
      <c r="A187" s="162"/>
      <c r="B187" s="162"/>
      <c r="C187" s="162"/>
      <c r="D187" s="162"/>
      <c r="E187" s="162"/>
      <c r="F187" s="162"/>
      <c r="G187" s="162"/>
      <c r="H187" s="162"/>
      <c r="I187" s="162"/>
      <c r="J187" s="162"/>
      <c r="K187" s="162"/>
      <c r="L187" s="162"/>
      <c r="M187" s="163"/>
      <c r="N187" s="163"/>
      <c r="O187" s="162"/>
      <c r="P187" s="162"/>
      <c r="Q187" s="162"/>
      <c r="R187" s="162"/>
      <c r="S187" s="162"/>
      <c r="T187" s="162"/>
      <c r="U187" s="162"/>
      <c r="V187" s="162"/>
      <c r="W187" s="162"/>
      <c r="X187" s="162"/>
      <c r="Y187" s="162"/>
      <c r="Z187" s="162"/>
      <c r="AA187" s="162"/>
      <c r="AB187" s="162"/>
      <c r="AC187" s="162"/>
      <c r="AD187" s="162"/>
    </row>
    <row r="188" spans="1:30">
      <c r="A188" s="162"/>
      <c r="B188" s="162"/>
      <c r="C188" s="162"/>
      <c r="D188" s="162"/>
      <c r="E188" s="162"/>
      <c r="F188" s="162"/>
      <c r="G188" s="162"/>
      <c r="H188" s="162"/>
      <c r="I188" s="162"/>
      <c r="J188" s="162"/>
      <c r="K188" s="162"/>
      <c r="L188" s="162"/>
      <c r="M188" s="163"/>
      <c r="N188" s="163"/>
      <c r="O188" s="162"/>
      <c r="P188" s="162"/>
      <c r="Q188" s="162"/>
      <c r="R188" s="162"/>
      <c r="S188" s="162"/>
      <c r="T188" s="162"/>
      <c r="U188" s="162"/>
      <c r="V188" s="162"/>
      <c r="W188" s="162"/>
      <c r="X188" s="162"/>
      <c r="Y188" s="162"/>
      <c r="Z188" s="162"/>
      <c r="AA188" s="162"/>
      <c r="AB188" s="162"/>
      <c r="AC188" s="162"/>
      <c r="AD188" s="162"/>
    </row>
    <row r="189" spans="1:30">
      <c r="A189" s="162"/>
      <c r="B189" s="162"/>
      <c r="C189" s="162"/>
      <c r="D189" s="162"/>
      <c r="E189" s="162"/>
      <c r="F189" s="162"/>
      <c r="G189" s="162"/>
      <c r="H189" s="162"/>
      <c r="I189" s="162"/>
      <c r="J189" s="162"/>
      <c r="K189" s="162"/>
      <c r="L189" s="162"/>
      <c r="M189" s="163"/>
      <c r="N189" s="163"/>
      <c r="O189" s="162"/>
      <c r="P189" s="162"/>
      <c r="Q189" s="162"/>
      <c r="R189" s="162"/>
      <c r="S189" s="162"/>
      <c r="T189" s="162"/>
      <c r="U189" s="162"/>
      <c r="V189" s="162"/>
      <c r="W189" s="162"/>
      <c r="X189" s="162"/>
      <c r="Y189" s="162"/>
      <c r="Z189" s="162"/>
      <c r="AA189" s="162"/>
      <c r="AB189" s="162"/>
      <c r="AC189" s="162"/>
      <c r="AD189" s="162"/>
    </row>
    <row r="190" spans="1:30">
      <c r="A190" s="162"/>
      <c r="B190" s="162"/>
      <c r="C190" s="162"/>
      <c r="D190" s="162"/>
      <c r="E190" s="162"/>
      <c r="F190" s="162"/>
      <c r="G190" s="162"/>
      <c r="H190" s="162"/>
      <c r="I190" s="162"/>
      <c r="J190" s="162"/>
      <c r="K190" s="162"/>
      <c r="L190" s="162"/>
      <c r="M190" s="163"/>
      <c r="N190" s="163"/>
      <c r="O190" s="162"/>
      <c r="P190" s="162"/>
      <c r="Q190" s="162"/>
      <c r="R190" s="162"/>
      <c r="S190" s="162"/>
      <c r="T190" s="162"/>
      <c r="U190" s="162"/>
      <c r="V190" s="162"/>
      <c r="W190" s="162"/>
      <c r="X190" s="162"/>
      <c r="Y190" s="162"/>
      <c r="Z190" s="162"/>
      <c r="AA190" s="162"/>
      <c r="AB190" s="162"/>
      <c r="AC190" s="162"/>
      <c r="AD190" s="162"/>
    </row>
    <row r="191" spans="1:30">
      <c r="A191" s="162"/>
      <c r="B191" s="162"/>
      <c r="C191" s="162"/>
      <c r="D191" s="162"/>
      <c r="E191" s="162"/>
      <c r="F191" s="162"/>
      <c r="G191" s="162"/>
      <c r="H191" s="162"/>
      <c r="I191" s="162"/>
      <c r="J191" s="162"/>
      <c r="K191" s="162"/>
      <c r="L191" s="162"/>
      <c r="M191" s="163"/>
      <c r="N191" s="163"/>
      <c r="O191" s="162"/>
      <c r="P191" s="162"/>
      <c r="Q191" s="162"/>
      <c r="R191" s="162"/>
      <c r="S191" s="162"/>
      <c r="T191" s="162"/>
      <c r="U191" s="162"/>
      <c r="V191" s="162"/>
      <c r="W191" s="162"/>
      <c r="X191" s="162"/>
      <c r="Y191" s="162"/>
      <c r="Z191" s="162"/>
      <c r="AA191" s="162"/>
      <c r="AB191" s="162"/>
      <c r="AC191" s="162"/>
      <c r="AD191" s="162"/>
    </row>
    <row r="192" spans="1:30">
      <c r="A192" s="162"/>
      <c r="B192" s="162"/>
      <c r="C192" s="162"/>
      <c r="D192" s="162"/>
      <c r="E192" s="162"/>
      <c r="F192" s="162"/>
      <c r="G192" s="162"/>
      <c r="H192" s="162"/>
      <c r="I192" s="162"/>
      <c r="J192" s="162"/>
      <c r="K192" s="162"/>
      <c r="L192" s="162"/>
      <c r="M192" s="163"/>
      <c r="N192" s="163"/>
      <c r="O192" s="162"/>
      <c r="P192" s="162"/>
      <c r="Q192" s="162"/>
      <c r="R192" s="162"/>
      <c r="S192" s="162"/>
      <c r="T192" s="162"/>
      <c r="U192" s="162"/>
      <c r="V192" s="162"/>
      <c r="W192" s="162"/>
      <c r="X192" s="162"/>
      <c r="Y192" s="162"/>
      <c r="Z192" s="162"/>
      <c r="AA192" s="162"/>
      <c r="AB192" s="162"/>
      <c r="AC192" s="162"/>
      <c r="AD192" s="162"/>
    </row>
    <row r="193" spans="1:30">
      <c r="A193" s="162"/>
      <c r="B193" s="162"/>
      <c r="C193" s="162"/>
      <c r="D193" s="162"/>
      <c r="E193" s="162"/>
      <c r="F193" s="162"/>
      <c r="G193" s="162"/>
      <c r="H193" s="162"/>
      <c r="I193" s="162"/>
      <c r="J193" s="162"/>
      <c r="K193" s="162"/>
      <c r="L193" s="162"/>
      <c r="M193" s="163"/>
      <c r="N193" s="163"/>
      <c r="O193" s="162"/>
      <c r="P193" s="162"/>
      <c r="Q193" s="162"/>
      <c r="R193" s="162"/>
      <c r="S193" s="162"/>
      <c r="T193" s="162"/>
      <c r="U193" s="162"/>
      <c r="V193" s="162"/>
      <c r="W193" s="162"/>
      <c r="X193" s="162"/>
      <c r="Y193" s="162"/>
      <c r="Z193" s="162"/>
      <c r="AA193" s="162"/>
      <c r="AB193" s="162"/>
      <c r="AC193" s="162"/>
      <c r="AD193" s="162"/>
    </row>
    <row r="194" spans="1:30">
      <c r="A194" s="162"/>
      <c r="B194" s="162"/>
      <c r="C194" s="162"/>
      <c r="D194" s="162"/>
      <c r="E194" s="162"/>
      <c r="F194" s="162"/>
      <c r="G194" s="162"/>
      <c r="H194" s="162"/>
      <c r="I194" s="162"/>
      <c r="J194" s="162"/>
      <c r="K194" s="162"/>
      <c r="L194" s="162"/>
      <c r="M194" s="163"/>
      <c r="N194" s="163"/>
      <c r="O194" s="162"/>
      <c r="P194" s="162"/>
      <c r="Q194" s="162"/>
      <c r="R194" s="162"/>
      <c r="S194" s="162"/>
      <c r="T194" s="162"/>
      <c r="U194" s="162"/>
      <c r="V194" s="162"/>
      <c r="W194" s="162"/>
      <c r="X194" s="162"/>
      <c r="Y194" s="162"/>
      <c r="Z194" s="162"/>
      <c r="AA194" s="162"/>
      <c r="AB194" s="162"/>
      <c r="AC194" s="162"/>
      <c r="AD194" s="162"/>
    </row>
    <row r="195" spans="1:30">
      <c r="A195" s="162"/>
      <c r="B195" s="162"/>
      <c r="C195" s="162"/>
      <c r="D195" s="162"/>
      <c r="E195" s="162"/>
      <c r="F195" s="162"/>
      <c r="G195" s="162"/>
      <c r="H195" s="162"/>
      <c r="I195" s="162"/>
      <c r="J195" s="162"/>
      <c r="K195" s="162"/>
      <c r="L195" s="162"/>
      <c r="M195" s="163"/>
      <c r="N195" s="163"/>
      <c r="O195" s="162"/>
      <c r="P195" s="162"/>
      <c r="Q195" s="162"/>
      <c r="R195" s="162"/>
      <c r="S195" s="162"/>
      <c r="T195" s="162"/>
      <c r="U195" s="162"/>
      <c r="V195" s="162"/>
      <c r="W195" s="162"/>
      <c r="X195" s="162"/>
      <c r="Y195" s="162"/>
      <c r="Z195" s="162"/>
      <c r="AA195" s="162"/>
      <c r="AB195" s="162"/>
      <c r="AC195" s="162"/>
      <c r="AD195" s="162"/>
    </row>
    <row r="196" spans="1:30">
      <c r="A196" s="162"/>
      <c r="B196" s="162"/>
      <c r="C196" s="162"/>
      <c r="D196" s="162"/>
      <c r="E196" s="162"/>
      <c r="F196" s="162"/>
      <c r="G196" s="162"/>
      <c r="H196" s="162"/>
      <c r="I196" s="162"/>
      <c r="J196" s="162"/>
      <c r="K196" s="162"/>
      <c r="L196" s="162"/>
      <c r="M196" s="163"/>
      <c r="N196" s="163"/>
      <c r="O196" s="162"/>
      <c r="P196" s="162"/>
      <c r="Q196" s="162"/>
      <c r="R196" s="162"/>
      <c r="S196" s="162"/>
      <c r="T196" s="162"/>
      <c r="U196" s="162"/>
      <c r="V196" s="162"/>
      <c r="W196" s="162"/>
      <c r="X196" s="162"/>
      <c r="Y196" s="162"/>
      <c r="Z196" s="162"/>
      <c r="AA196" s="162"/>
      <c r="AB196" s="162"/>
      <c r="AC196" s="162"/>
      <c r="AD196" s="162"/>
    </row>
    <row r="197" spans="1:30">
      <c r="A197" s="162"/>
      <c r="B197" s="162"/>
      <c r="C197" s="162"/>
      <c r="D197" s="162"/>
      <c r="E197" s="162"/>
      <c r="F197" s="162"/>
      <c r="G197" s="162"/>
      <c r="H197" s="162"/>
      <c r="I197" s="162"/>
      <c r="J197" s="162"/>
      <c r="K197" s="162"/>
      <c r="L197" s="162"/>
      <c r="M197" s="163"/>
      <c r="N197" s="163"/>
      <c r="O197" s="162"/>
      <c r="P197" s="162"/>
      <c r="Q197" s="162"/>
      <c r="R197" s="162"/>
      <c r="S197" s="162"/>
      <c r="T197" s="162"/>
      <c r="U197" s="162"/>
      <c r="V197" s="162"/>
      <c r="W197" s="162"/>
      <c r="X197" s="162"/>
      <c r="Y197" s="162"/>
      <c r="Z197" s="162"/>
      <c r="AA197" s="162"/>
      <c r="AB197" s="162"/>
      <c r="AC197" s="162"/>
      <c r="AD197" s="162"/>
    </row>
    <row r="198" spans="1:30">
      <c r="A198" s="162"/>
      <c r="B198" s="162"/>
      <c r="C198" s="162"/>
      <c r="D198" s="162"/>
      <c r="E198" s="162"/>
      <c r="F198" s="162"/>
      <c r="G198" s="162"/>
      <c r="H198" s="162"/>
      <c r="I198" s="162"/>
      <c r="J198" s="162"/>
      <c r="K198" s="162"/>
      <c r="L198" s="162"/>
      <c r="M198" s="163"/>
      <c r="N198" s="163"/>
      <c r="O198" s="162"/>
      <c r="P198" s="162"/>
      <c r="Q198" s="162"/>
      <c r="R198" s="162"/>
      <c r="S198" s="162"/>
      <c r="T198" s="162"/>
      <c r="U198" s="162"/>
      <c r="V198" s="162"/>
      <c r="W198" s="162"/>
      <c r="X198" s="162"/>
      <c r="Y198" s="162"/>
      <c r="Z198" s="162"/>
      <c r="AA198" s="162"/>
      <c r="AB198" s="162"/>
      <c r="AC198" s="162"/>
      <c r="AD198" s="162"/>
    </row>
    <row r="199" spans="1:30">
      <c r="A199" s="162"/>
      <c r="B199" s="162"/>
      <c r="C199" s="162"/>
      <c r="D199" s="162"/>
      <c r="E199" s="162"/>
      <c r="F199" s="162"/>
      <c r="G199" s="162"/>
      <c r="H199" s="162"/>
      <c r="I199" s="162"/>
      <c r="J199" s="162"/>
      <c r="K199" s="162"/>
      <c r="L199" s="162"/>
      <c r="M199" s="163"/>
      <c r="N199" s="163"/>
      <c r="O199" s="162"/>
      <c r="P199" s="162"/>
      <c r="Q199" s="162"/>
      <c r="R199" s="162"/>
      <c r="S199" s="162"/>
      <c r="T199" s="162"/>
      <c r="U199" s="162"/>
      <c r="V199" s="162"/>
      <c r="W199" s="162"/>
      <c r="X199" s="162"/>
      <c r="Y199" s="162"/>
      <c r="Z199" s="162"/>
      <c r="AA199" s="162"/>
      <c r="AB199" s="162"/>
      <c r="AC199" s="162"/>
      <c r="AD199" s="162"/>
    </row>
    <row r="200" spans="1:30">
      <c r="A200" s="162"/>
      <c r="B200" s="162"/>
      <c r="C200" s="162"/>
      <c r="D200" s="162"/>
      <c r="E200" s="162"/>
      <c r="F200" s="162"/>
      <c r="G200" s="162"/>
      <c r="H200" s="162"/>
      <c r="I200" s="162"/>
      <c r="J200" s="162"/>
      <c r="K200" s="162"/>
      <c r="L200" s="162"/>
      <c r="M200" s="163"/>
      <c r="N200" s="163"/>
      <c r="O200" s="162"/>
      <c r="P200" s="162"/>
      <c r="Q200" s="162"/>
      <c r="R200" s="162"/>
      <c r="S200" s="162"/>
      <c r="T200" s="162"/>
      <c r="U200" s="162"/>
      <c r="V200" s="162"/>
      <c r="W200" s="162"/>
      <c r="X200" s="162"/>
      <c r="Y200" s="162"/>
      <c r="Z200" s="162"/>
      <c r="AA200" s="162"/>
      <c r="AB200" s="162"/>
      <c r="AC200" s="162"/>
      <c r="AD200" s="162"/>
    </row>
  </sheetData>
  <mergeCells count="9">
    <mergeCell ref="A106:B106"/>
    <mergeCell ref="A107:B107"/>
    <mergeCell ref="A108:B108"/>
    <mergeCell ref="A8:G8"/>
    <mergeCell ref="A9:G9"/>
    <mergeCell ref="A102:B102"/>
    <mergeCell ref="A103:B103"/>
    <mergeCell ref="A105:B105"/>
    <mergeCell ref="A104:B104"/>
  </mergeCells>
  <phoneticPr fontId="11" type="noConversion"/>
  <dataValidations count="2">
    <dataValidation type="list" allowBlank="1" showInputMessage="1" showErrorMessage="1" sqref="C14:C52" xr:uid="{00000000-0002-0000-0D00-000000000000}">
      <formula1>Prod_Trans_VehicleMiles</formula1>
    </dataValidation>
    <dataValidation type="list" allowBlank="1" showInputMessage="1" showErrorMessage="1" sqref="C58:C96" xr:uid="{00000000-0002-0000-0D00-000001000000}">
      <formula1>Prod_Trans_TonMiles</formula1>
    </dataValidation>
  </dataValidations>
  <pageMargins left="0.25" right="0.25" top="0.25" bottom="0.25" header="0.5" footer="0.5"/>
  <pageSetup scale="84" orientation="portrait" r:id="rId1"/>
  <headerFooter alignWithMargins="0">
    <oddFooter>&amp;L&amp;"Arial,Italic"&amp;9EPA Climate Leaders Simplified GHG Emissions Calculator (Optional 3.0)&amp;R&amp;"Arial,Italic"&amp;9&amp;P of &amp;N</oddFooter>
  </headerFooter>
  <rowBreaks count="2" manualBreakCount="2">
    <brk id="54" max="16383" man="1"/>
    <brk id="100" max="16383" man="1"/>
  </rowBreaks>
  <colBreaks count="1" manualBreakCount="1">
    <brk id="8"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3ABC-DDDA-4104-BD23-6A8C5DE0901A}">
  <sheetPr codeName="Sheet35"/>
  <dimension ref="A1:AC188"/>
  <sheetViews>
    <sheetView zoomScale="80" zoomScaleNormal="80" workbookViewId="0"/>
  </sheetViews>
  <sheetFormatPr defaultColWidth="8.85546875" defaultRowHeight="12.75"/>
  <cols>
    <col min="1" max="1" width="47.140625" customWidth="1"/>
    <col min="2" max="2" width="30.140625" bestFit="1" customWidth="1"/>
    <col min="3" max="3" width="29.140625" customWidth="1"/>
    <col min="4" max="4" width="10.85546875" customWidth="1"/>
    <col min="5" max="6" width="14.85546875" customWidth="1"/>
    <col min="7" max="7" width="15.42578125" customWidth="1"/>
    <col min="8" max="11" width="9.140625" customWidth="1"/>
    <col min="12" max="13" width="9.140625" style="124" customWidth="1"/>
    <col min="16" max="17" width="13.85546875" customWidth="1"/>
  </cols>
  <sheetData>
    <row r="1" spans="1:29"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row>
    <row r="2" spans="1:29"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row>
    <row r="3" spans="1:29" ht="15">
      <c r="A3" s="182" t="s">
        <v>1045</v>
      </c>
      <c r="B3" s="162"/>
      <c r="C3" s="162"/>
      <c r="D3" s="162"/>
      <c r="E3" s="162"/>
      <c r="F3" s="162"/>
      <c r="G3" s="162"/>
      <c r="H3" s="162"/>
      <c r="I3" s="162"/>
      <c r="J3" s="162"/>
      <c r="K3" s="162"/>
      <c r="L3" s="163"/>
      <c r="M3" s="163"/>
      <c r="N3" s="162"/>
      <c r="O3" s="162"/>
      <c r="P3" s="162"/>
      <c r="Q3" s="162"/>
      <c r="R3" s="162"/>
      <c r="S3" s="162"/>
      <c r="T3" s="162"/>
      <c r="U3" s="162"/>
      <c r="V3" s="162"/>
      <c r="W3" s="162"/>
      <c r="X3" s="162"/>
      <c r="Y3" s="162"/>
      <c r="Z3" s="162"/>
      <c r="AA3" s="162"/>
      <c r="AB3" s="162"/>
      <c r="AC3" s="162"/>
    </row>
    <row r="4" spans="1:29">
      <c r="A4" s="162"/>
      <c r="B4" s="162"/>
      <c r="C4" s="162"/>
      <c r="D4" s="162"/>
      <c r="E4" s="162"/>
      <c r="F4" s="162"/>
      <c r="G4" s="162"/>
      <c r="H4" s="162"/>
      <c r="I4" s="162"/>
      <c r="J4" s="162"/>
      <c r="K4" s="162"/>
      <c r="L4" s="163"/>
      <c r="M4" s="163"/>
      <c r="N4" s="162"/>
      <c r="O4" s="162"/>
      <c r="P4" s="162"/>
      <c r="Q4" s="162"/>
      <c r="R4" s="162"/>
      <c r="S4" s="162"/>
      <c r="T4" s="162"/>
      <c r="U4" s="162"/>
      <c r="V4" s="162"/>
      <c r="W4" s="162"/>
      <c r="X4" s="162"/>
      <c r="Y4" s="162"/>
      <c r="Z4" s="162"/>
      <c r="AA4" s="162"/>
      <c r="AB4" s="162"/>
      <c r="AC4" s="162"/>
    </row>
    <row r="5" spans="1:29">
      <c r="A5" s="161" t="s">
        <v>293</v>
      </c>
      <c r="B5" s="162"/>
      <c r="C5" s="162"/>
      <c r="D5" s="162"/>
      <c r="E5" s="162"/>
      <c r="F5" s="162"/>
      <c r="G5" s="162"/>
      <c r="H5" s="162"/>
      <c r="I5" s="162"/>
      <c r="J5" s="162"/>
      <c r="K5" s="162"/>
      <c r="L5" s="163"/>
      <c r="M5" s="163"/>
      <c r="N5" s="162"/>
      <c r="O5" s="162"/>
      <c r="P5" s="162"/>
      <c r="Q5" s="162"/>
      <c r="R5" s="162"/>
      <c r="S5" s="162"/>
      <c r="T5" s="162"/>
      <c r="U5" s="162"/>
      <c r="V5" s="162"/>
      <c r="W5" s="162"/>
      <c r="X5" s="162"/>
      <c r="Y5" s="162"/>
      <c r="Z5" s="162"/>
      <c r="AA5" s="162"/>
      <c r="AB5" s="162"/>
      <c r="AC5" s="162"/>
    </row>
    <row r="6" spans="1:29">
      <c r="A6" s="1284" t="s">
        <v>1194</v>
      </c>
      <c r="B6" s="1284"/>
      <c r="C6" s="1284"/>
      <c r="D6" s="1284"/>
      <c r="E6" s="1284"/>
      <c r="F6" s="1284"/>
      <c r="G6" s="1284"/>
      <c r="H6" s="162"/>
      <c r="I6" s="162"/>
      <c r="J6" s="162"/>
      <c r="K6" s="162"/>
      <c r="L6" s="163"/>
      <c r="M6" s="163"/>
      <c r="N6" s="162"/>
      <c r="O6" s="162"/>
      <c r="P6" s="162"/>
      <c r="Q6" s="162"/>
      <c r="R6" s="162"/>
      <c r="S6" s="162"/>
      <c r="T6" s="162"/>
      <c r="U6" s="162"/>
      <c r="V6" s="162"/>
      <c r="W6" s="162"/>
      <c r="X6" s="162"/>
      <c r="Y6" s="162"/>
      <c r="Z6" s="162"/>
      <c r="AA6" s="162"/>
      <c r="AB6" s="162"/>
      <c r="AC6" s="162"/>
    </row>
    <row r="7" spans="1:29" ht="27.6" customHeight="1">
      <c r="A7" s="1222" t="s">
        <v>1272</v>
      </c>
      <c r="B7" s="1222"/>
      <c r="C7" s="1222"/>
      <c r="D7" s="1222"/>
      <c r="E7" s="1222"/>
      <c r="F7" s="1222"/>
      <c r="G7" s="1222"/>
      <c r="H7" s="162"/>
      <c r="I7" s="162"/>
      <c r="J7" s="162"/>
      <c r="K7" s="162"/>
      <c r="L7" s="163"/>
      <c r="M7" s="163"/>
      <c r="N7" s="162"/>
      <c r="O7" s="162"/>
      <c r="P7" s="162"/>
      <c r="Q7" s="162"/>
      <c r="R7" s="162"/>
      <c r="S7" s="162"/>
      <c r="T7" s="162"/>
      <c r="U7" s="162"/>
      <c r="V7" s="162"/>
      <c r="W7" s="162"/>
      <c r="X7" s="162"/>
      <c r="Y7" s="162"/>
      <c r="Z7" s="162"/>
      <c r="AA7" s="162"/>
      <c r="AB7" s="162"/>
      <c r="AC7" s="162"/>
    </row>
    <row r="8" spans="1:29" ht="27.6" customHeight="1">
      <c r="A8" s="1222" t="s">
        <v>1195</v>
      </c>
      <c r="B8" s="1222"/>
      <c r="C8" s="1222"/>
      <c r="D8" s="1222"/>
      <c r="E8" s="1222"/>
      <c r="F8" s="1222"/>
      <c r="G8" s="1222"/>
      <c r="H8" s="162"/>
      <c r="I8" s="162"/>
      <c r="J8" s="162"/>
      <c r="K8" s="162"/>
      <c r="L8" s="163"/>
      <c r="M8" s="163"/>
      <c r="N8" s="162"/>
      <c r="O8" s="162"/>
      <c r="P8" s="162"/>
      <c r="Q8" s="162"/>
      <c r="R8" s="162"/>
      <c r="S8" s="162"/>
      <c r="T8" s="162"/>
      <c r="U8" s="162"/>
      <c r="V8" s="162"/>
      <c r="W8" s="162"/>
      <c r="X8" s="162"/>
      <c r="Y8" s="162"/>
      <c r="Z8" s="162"/>
      <c r="AA8" s="162"/>
      <c r="AB8" s="162"/>
      <c r="AC8" s="162"/>
    </row>
    <row r="9" spans="1:29">
      <c r="A9" s="201"/>
      <c r="B9" s="162"/>
      <c r="C9" s="162"/>
      <c r="D9" s="162"/>
      <c r="E9" s="162"/>
      <c r="F9" s="162"/>
      <c r="G9" s="162"/>
      <c r="H9" s="162"/>
      <c r="I9" s="162"/>
      <c r="J9" s="162"/>
      <c r="K9" s="162"/>
      <c r="L9" s="163"/>
      <c r="M9" s="163"/>
      <c r="N9" s="162"/>
      <c r="O9" s="162"/>
      <c r="P9" s="162"/>
      <c r="Q9" s="162"/>
      <c r="R9" s="162"/>
      <c r="S9" s="162"/>
      <c r="T9" s="162"/>
      <c r="U9" s="162"/>
      <c r="V9" s="162"/>
      <c r="W9" s="162"/>
      <c r="X9" s="162"/>
      <c r="Y9" s="162"/>
      <c r="Z9" s="162"/>
      <c r="AA9" s="162"/>
      <c r="AB9" s="162"/>
      <c r="AC9" s="162"/>
    </row>
    <row r="10" spans="1:29" ht="15" thickBot="1">
      <c r="A10" s="161" t="s">
        <v>1197</v>
      </c>
      <c r="B10" s="162"/>
      <c r="C10" s="162"/>
      <c r="D10" s="162"/>
      <c r="E10" s="162"/>
      <c r="F10" s="162"/>
      <c r="G10" s="162"/>
      <c r="H10" s="162"/>
      <c r="I10" s="162"/>
      <c r="J10" s="162"/>
      <c r="K10" s="162"/>
      <c r="L10" s="163"/>
      <c r="M10" s="163"/>
      <c r="N10" s="162"/>
      <c r="O10" s="162"/>
      <c r="P10" s="162"/>
      <c r="Q10" s="162"/>
      <c r="R10" s="162"/>
      <c r="S10" s="162"/>
      <c r="T10" s="162"/>
      <c r="U10" s="162"/>
      <c r="V10" s="162"/>
      <c r="W10" s="162"/>
      <c r="X10" s="162"/>
      <c r="Y10" s="162"/>
      <c r="Z10" s="162"/>
      <c r="AA10" s="162"/>
      <c r="AB10" s="162"/>
      <c r="AC10" s="162"/>
    </row>
    <row r="11" spans="1:29" ht="27.75" thickBot="1">
      <c r="A11" s="687" t="s">
        <v>284</v>
      </c>
      <c r="B11" s="688" t="s">
        <v>0</v>
      </c>
      <c r="C11" s="688" t="s">
        <v>1046</v>
      </c>
      <c r="D11" s="663" t="s">
        <v>1047</v>
      </c>
      <c r="E11" s="663" t="s">
        <v>179</v>
      </c>
      <c r="F11" s="663" t="s">
        <v>29</v>
      </c>
      <c r="G11" s="663" t="s">
        <v>1049</v>
      </c>
      <c r="H11" s="342"/>
      <c r="I11" s="162"/>
      <c r="J11" s="162"/>
      <c r="K11" s="162"/>
      <c r="L11" s="344"/>
      <c r="M11" s="344"/>
      <c r="N11" s="162"/>
      <c r="O11" s="162"/>
      <c r="P11" s="162"/>
      <c r="Q11" s="162"/>
      <c r="R11" s="162"/>
      <c r="S11" s="162"/>
      <c r="T11" s="162"/>
      <c r="U11" s="162"/>
      <c r="V11" s="162"/>
      <c r="W11" s="162"/>
      <c r="X11" s="162"/>
      <c r="Y11" s="162"/>
      <c r="Z11" s="162"/>
      <c r="AA11" s="162"/>
      <c r="AB11" s="162"/>
      <c r="AC11" s="162"/>
    </row>
    <row r="12" spans="1:29">
      <c r="A12" s="448" t="s">
        <v>16</v>
      </c>
      <c r="B12" s="449" t="s">
        <v>267</v>
      </c>
      <c r="C12" s="449" t="s">
        <v>1053</v>
      </c>
      <c r="D12" s="449" t="s">
        <v>1112</v>
      </c>
      <c r="E12" s="842">
        <v>1000</v>
      </c>
      <c r="F12" s="449" t="s">
        <v>337</v>
      </c>
      <c r="G12" s="839">
        <f>IF($E12="","",E12*(VLOOKUP($F12,'Unit Conversions'!$A$12:$C$16,3,FALSE)*INDEX('Emission Factors'!$B$382:$H$442,MATCH(C12,'Emission Factors'!$B$382:$B$442,0),MATCH(D12,'Emission Factors'!$B$382:$H$382,0)))*1000)</f>
        <v>22040</v>
      </c>
      <c r="H12" s="202"/>
      <c r="I12" s="162"/>
      <c r="J12" s="162"/>
      <c r="K12" s="162"/>
      <c r="L12" s="162"/>
      <c r="M12" s="162"/>
      <c r="N12" s="162"/>
      <c r="O12" s="162"/>
      <c r="P12" s="162"/>
      <c r="Q12" s="162"/>
      <c r="R12" s="162"/>
      <c r="S12" s="162"/>
      <c r="T12" s="162"/>
      <c r="U12" s="162"/>
      <c r="V12" s="162"/>
      <c r="W12" s="162"/>
      <c r="X12" s="162"/>
      <c r="Y12" s="162"/>
      <c r="Z12" s="162"/>
      <c r="AA12" s="162"/>
      <c r="AB12" s="162"/>
      <c r="AC12" s="162"/>
    </row>
    <row r="13" spans="1:29">
      <c r="A13" s="177"/>
      <c r="B13" s="178"/>
      <c r="C13" s="178"/>
      <c r="D13" s="178"/>
      <c r="E13" s="843"/>
      <c r="F13" s="902"/>
      <c r="G13" s="844" t="str">
        <f>IF($E13="","",E13*(VLOOKUP($F13,'Unit Conversions'!$A$12:$C$16,3,FALSE)*INDEX('Emission Factors'!$B$382:$H$442,MATCH(C13,'Emission Factors'!$B$382:$B$442,0),MATCH(D13,'Emission Factors'!$B$382:$H$382,0)))*1000)</f>
        <v/>
      </c>
      <c r="H13" s="202"/>
      <c r="I13" s="162"/>
      <c r="J13" s="162"/>
      <c r="K13" s="162"/>
      <c r="L13" s="162"/>
      <c r="M13" s="162"/>
      <c r="N13" s="162"/>
      <c r="O13" s="162"/>
      <c r="P13" s="162"/>
      <c r="Q13" s="162"/>
      <c r="R13" s="162"/>
      <c r="S13" s="162"/>
      <c r="T13" s="162"/>
      <c r="U13" s="162"/>
      <c r="V13" s="162"/>
      <c r="W13" s="162"/>
      <c r="X13" s="162"/>
      <c r="Y13" s="162"/>
      <c r="Z13" s="162"/>
      <c r="AA13" s="162"/>
      <c r="AB13" s="162"/>
      <c r="AC13" s="162"/>
    </row>
    <row r="14" spans="1:29">
      <c r="A14" s="177"/>
      <c r="B14" s="178"/>
      <c r="C14" s="178"/>
      <c r="D14" s="178"/>
      <c r="E14" s="73"/>
      <c r="F14" s="73"/>
      <c r="G14" s="840" t="str">
        <f>IF($E14="","",E14*(VLOOKUP($F14,'Unit Conversions'!$A$12:$C$16,3,FALSE)*INDEX('Emission Factors'!$B$382:$H$442,MATCH(C14,'Emission Factors'!$B$382:$B$442,0),MATCH(D14,'Emission Factors'!$B$382:$H$382,0)))*1000)</f>
        <v/>
      </c>
      <c r="H14" s="202"/>
      <c r="I14" s="162"/>
      <c r="J14" s="162"/>
      <c r="K14" s="162"/>
      <c r="L14" s="162"/>
      <c r="M14" s="162"/>
      <c r="N14" s="162"/>
      <c r="O14" s="162"/>
      <c r="P14" s="162"/>
      <c r="Q14" s="162"/>
      <c r="R14" s="162"/>
      <c r="S14" s="162"/>
      <c r="T14" s="162"/>
      <c r="U14" s="162"/>
      <c r="V14" s="162"/>
      <c r="W14" s="162"/>
      <c r="X14" s="162"/>
      <c r="Y14" s="162"/>
      <c r="Z14" s="162"/>
      <c r="AA14" s="162"/>
      <c r="AB14" s="162"/>
      <c r="AC14" s="162"/>
    </row>
    <row r="15" spans="1:29">
      <c r="A15" s="177"/>
      <c r="B15" s="178"/>
      <c r="C15" s="178"/>
      <c r="D15" s="178"/>
      <c r="E15" s="73"/>
      <c r="F15" s="73"/>
      <c r="G15" s="840" t="str">
        <f>IF($E15="","",E15*(VLOOKUP($F15,'Unit Conversions'!$A$12:$C$16,3,FALSE)*INDEX('Emission Factors'!$B$382:$H$442,MATCH(C15,'Emission Factors'!$B$382:$B$442,0),MATCH(D15,'Emission Factors'!$B$382:$H$382,0)))*1000)</f>
        <v/>
      </c>
      <c r="H15" s="202"/>
      <c r="I15" s="162"/>
      <c r="J15" s="162"/>
      <c r="K15" s="162"/>
      <c r="L15" s="162"/>
      <c r="M15" s="162"/>
      <c r="N15" s="162"/>
      <c r="O15" s="162"/>
      <c r="P15" s="162"/>
      <c r="Q15" s="162"/>
      <c r="R15" s="162"/>
      <c r="S15" s="162"/>
      <c r="T15" s="162"/>
      <c r="U15" s="162"/>
      <c r="V15" s="162"/>
      <c r="W15" s="162"/>
      <c r="X15" s="162"/>
      <c r="Y15" s="162"/>
      <c r="Z15" s="162"/>
      <c r="AA15" s="162"/>
      <c r="AB15" s="162"/>
      <c r="AC15" s="162"/>
    </row>
    <row r="16" spans="1:29">
      <c r="A16" s="177"/>
      <c r="B16" s="178"/>
      <c r="C16" s="178"/>
      <c r="D16" s="178"/>
      <c r="E16" s="73"/>
      <c r="F16" s="905"/>
      <c r="G16" s="840" t="str">
        <f>IF($E16="","",E16*(VLOOKUP($F16,'Unit Conversions'!$A$12:$C$16,3,FALSE)*INDEX('Emission Factors'!$B$382:$H$442,MATCH(C16,'Emission Factors'!$B$382:$B$442,0),MATCH(D16,'Emission Factors'!$B$382:$H$382,0)))*1000)</f>
        <v/>
      </c>
      <c r="H16" s="202"/>
      <c r="I16" s="162"/>
      <c r="J16" s="162"/>
      <c r="K16" s="162"/>
      <c r="L16" s="162"/>
      <c r="M16" s="162"/>
      <c r="N16" s="162"/>
      <c r="O16" s="162"/>
      <c r="P16" s="162"/>
      <c r="Q16" s="162"/>
      <c r="R16" s="162"/>
      <c r="S16" s="162"/>
      <c r="T16" s="162"/>
      <c r="U16" s="162"/>
      <c r="V16" s="162"/>
      <c r="W16" s="162"/>
      <c r="X16" s="162"/>
      <c r="Y16" s="162"/>
      <c r="Z16" s="162"/>
      <c r="AA16" s="162"/>
      <c r="AB16" s="162"/>
      <c r="AC16" s="162"/>
    </row>
    <row r="17" spans="1:29">
      <c r="A17" s="177"/>
      <c r="B17" s="178"/>
      <c r="C17" s="178"/>
      <c r="D17" s="178"/>
      <c r="E17" s="73"/>
      <c r="F17" s="73"/>
      <c r="G17" s="840" t="str">
        <f>IF($E17="","",E17*(VLOOKUP($F17,'Unit Conversions'!$A$12:$C$16,3,FALSE)*INDEX('Emission Factors'!$B$382:$H$442,MATCH(C17,'Emission Factors'!$B$382:$B$442,0),MATCH(D17,'Emission Factors'!$B$382:$H$382,0)))*1000)</f>
        <v/>
      </c>
      <c r="H17" s="202"/>
      <c r="I17" s="162"/>
      <c r="J17" s="162"/>
      <c r="K17" s="162"/>
      <c r="L17" s="162"/>
      <c r="M17" s="162"/>
      <c r="N17" s="162"/>
      <c r="O17" s="162"/>
      <c r="P17" s="162"/>
      <c r="Q17" s="162"/>
      <c r="R17" s="162"/>
      <c r="S17" s="162"/>
      <c r="T17" s="162"/>
      <c r="U17" s="162"/>
      <c r="V17" s="162"/>
      <c r="W17" s="162"/>
      <c r="X17" s="162"/>
      <c r="Y17" s="162"/>
      <c r="Z17" s="162"/>
      <c r="AA17" s="162"/>
      <c r="AB17" s="162"/>
      <c r="AC17" s="162"/>
    </row>
    <row r="18" spans="1:29">
      <c r="A18" s="177"/>
      <c r="B18" s="178"/>
      <c r="C18" s="178"/>
      <c r="D18" s="178"/>
      <c r="E18" s="73"/>
      <c r="F18" s="73"/>
      <c r="G18" s="840" t="str">
        <f>IF($E18="","",E18*(VLOOKUP($F18,'Unit Conversions'!$A$12:$C$16,3,FALSE)*INDEX('Emission Factors'!$B$382:$H$442,MATCH(C18,'Emission Factors'!$B$382:$B$442,0),MATCH(D18,'Emission Factors'!$B$382:$H$382,0)))*1000)</f>
        <v/>
      </c>
      <c r="H18" s="202"/>
      <c r="I18" s="162"/>
      <c r="J18" s="162"/>
      <c r="K18" s="162"/>
      <c r="L18" s="162"/>
      <c r="M18" s="162"/>
      <c r="N18" s="162"/>
      <c r="O18" s="162"/>
      <c r="P18" s="162"/>
      <c r="Q18" s="162"/>
      <c r="R18" s="162"/>
      <c r="S18" s="162"/>
      <c r="T18" s="162"/>
      <c r="U18" s="162"/>
      <c r="V18" s="162"/>
      <c r="W18" s="162"/>
      <c r="X18" s="162"/>
      <c r="Y18" s="162"/>
      <c r="Z18" s="162"/>
      <c r="AA18" s="162"/>
      <c r="AB18" s="162"/>
      <c r="AC18" s="162"/>
    </row>
    <row r="19" spans="1:29">
      <c r="A19" s="177"/>
      <c r="B19" s="178"/>
      <c r="C19" s="178"/>
      <c r="D19" s="178"/>
      <c r="E19" s="73"/>
      <c r="F19" s="73"/>
      <c r="G19" s="840" t="str">
        <f>IF($E19="","",E19*(VLOOKUP($F19,'Unit Conversions'!$A$12:$C$16,3,FALSE)*INDEX('Emission Factors'!$B$382:$H$442,MATCH(C19,'Emission Factors'!$B$382:$B$442,0),MATCH(D19,'Emission Factors'!$B$382:$H$382,0)))*1000)</f>
        <v/>
      </c>
      <c r="H19" s="202"/>
      <c r="I19" s="162"/>
      <c r="J19" s="162"/>
      <c r="K19" s="162"/>
      <c r="L19" s="162"/>
      <c r="M19" s="162"/>
      <c r="N19" s="162"/>
      <c r="O19" s="162"/>
      <c r="P19" s="162"/>
      <c r="Q19" s="162"/>
      <c r="R19" s="162"/>
      <c r="S19" s="162"/>
      <c r="T19" s="162"/>
      <c r="U19" s="162"/>
      <c r="V19" s="162"/>
      <c r="W19" s="162"/>
      <c r="X19" s="162"/>
      <c r="Y19" s="162"/>
      <c r="Z19" s="162"/>
      <c r="AA19" s="162"/>
      <c r="AB19" s="162"/>
      <c r="AC19" s="162"/>
    </row>
    <row r="20" spans="1:29">
      <c r="A20" s="177"/>
      <c r="B20" s="178"/>
      <c r="C20" s="178"/>
      <c r="D20" s="178"/>
      <c r="E20" s="73"/>
      <c r="F20" s="73"/>
      <c r="G20" s="840" t="str">
        <f>IF($E20="","",E20*(VLOOKUP($F20,'Unit Conversions'!$A$12:$C$16,3,FALSE)*INDEX('Emission Factors'!$B$382:$H$442,MATCH(C20,'Emission Factors'!$B$382:$B$442,0),MATCH(D20,'Emission Factors'!$B$382:$H$382,0)))*1000)</f>
        <v/>
      </c>
      <c r="H20" s="202"/>
      <c r="I20" s="162"/>
      <c r="J20" s="162"/>
      <c r="K20" s="162"/>
      <c r="L20" s="162"/>
      <c r="M20" s="162"/>
      <c r="N20" s="162"/>
      <c r="O20" s="162"/>
      <c r="P20" s="162"/>
      <c r="Q20" s="162"/>
      <c r="R20" s="162"/>
      <c r="S20" s="162"/>
      <c r="T20" s="162"/>
      <c r="U20" s="162"/>
      <c r="V20" s="162"/>
      <c r="W20" s="162"/>
      <c r="X20" s="162"/>
      <c r="Y20" s="162"/>
      <c r="Z20" s="162"/>
      <c r="AA20" s="162"/>
      <c r="AB20" s="162"/>
      <c r="AC20" s="162"/>
    </row>
    <row r="21" spans="1:29">
      <c r="A21" s="177"/>
      <c r="B21" s="178"/>
      <c r="C21" s="178"/>
      <c r="D21" s="178"/>
      <c r="E21" s="73"/>
      <c r="F21" s="73"/>
      <c r="G21" s="840" t="str">
        <f>IF($E21="","",E21*(VLOOKUP($F21,'Unit Conversions'!$A$12:$C$16,3,FALSE)*INDEX('Emission Factors'!$B$382:$H$442,MATCH(C21,'Emission Factors'!$B$382:$B$442,0),MATCH(D21,'Emission Factors'!$B$382:$H$382,0)))*1000)</f>
        <v/>
      </c>
      <c r="H21" s="202"/>
      <c r="I21" s="162"/>
      <c r="J21" s="162"/>
      <c r="K21" s="162"/>
      <c r="L21" s="162"/>
      <c r="M21" s="162"/>
      <c r="N21" s="162"/>
      <c r="O21" s="162"/>
      <c r="P21" s="162"/>
      <c r="Q21" s="162"/>
      <c r="R21" s="162"/>
      <c r="S21" s="162"/>
      <c r="T21" s="162"/>
      <c r="U21" s="162"/>
      <c r="V21" s="162"/>
      <c r="W21" s="162"/>
      <c r="X21" s="162"/>
      <c r="Y21" s="162"/>
      <c r="Z21" s="162"/>
      <c r="AA21" s="162"/>
      <c r="AB21" s="162"/>
      <c r="AC21" s="162"/>
    </row>
    <row r="22" spans="1:29">
      <c r="A22" s="177"/>
      <c r="B22" s="178"/>
      <c r="C22" s="178"/>
      <c r="D22" s="178"/>
      <c r="E22" s="73"/>
      <c r="F22" s="73"/>
      <c r="G22" s="840" t="str">
        <f>IF($E22="","",E22*(VLOOKUP($F22,'Unit Conversions'!$A$12:$C$16,3,FALSE)*INDEX('Emission Factors'!$B$382:$H$442,MATCH(C22,'Emission Factors'!$B$382:$B$442,0),MATCH(D22,'Emission Factors'!$B$382:$H$382,0)))*1000)</f>
        <v/>
      </c>
      <c r="H22" s="202"/>
      <c r="I22" s="162"/>
      <c r="J22" s="162"/>
      <c r="K22" s="162"/>
      <c r="L22" s="162"/>
      <c r="M22" s="162"/>
      <c r="N22" s="162"/>
      <c r="O22" s="162"/>
      <c r="P22" s="162"/>
      <c r="Q22" s="162"/>
      <c r="R22" s="162"/>
      <c r="S22" s="162"/>
      <c r="T22" s="162"/>
      <c r="U22" s="162"/>
      <c r="V22" s="162"/>
      <c r="W22" s="162"/>
      <c r="X22" s="162"/>
      <c r="Y22" s="162"/>
      <c r="Z22" s="162"/>
      <c r="AA22" s="162"/>
      <c r="AB22" s="162"/>
      <c r="AC22" s="162"/>
    </row>
    <row r="23" spans="1:29">
      <c r="A23" s="177"/>
      <c r="B23" s="178"/>
      <c r="C23" s="178"/>
      <c r="D23" s="178"/>
      <c r="E23" s="73"/>
      <c r="F23" s="73"/>
      <c r="G23" s="840" t="str">
        <f>IF($E23="","",E23*(VLOOKUP($F23,'Unit Conversions'!$A$12:$C$16,3,FALSE)*INDEX('Emission Factors'!$B$382:$H$442,MATCH(C23,'Emission Factors'!$B$382:$B$442,0),MATCH(D23,'Emission Factors'!$B$382:$H$382,0)))*1000)</f>
        <v/>
      </c>
      <c r="H23" s="202"/>
      <c r="I23" s="162"/>
      <c r="J23" s="162"/>
      <c r="K23" s="162"/>
      <c r="L23" s="162"/>
      <c r="M23" s="162"/>
      <c r="N23" s="162"/>
      <c r="O23" s="162"/>
      <c r="P23" s="162"/>
      <c r="Q23" s="162"/>
      <c r="R23" s="162"/>
      <c r="S23" s="162"/>
      <c r="T23" s="162"/>
      <c r="U23" s="162"/>
      <c r="V23" s="162"/>
      <c r="W23" s="162"/>
      <c r="X23" s="162"/>
      <c r="Y23" s="162"/>
      <c r="Z23" s="162"/>
      <c r="AA23" s="162"/>
      <c r="AB23" s="162"/>
      <c r="AC23" s="162"/>
    </row>
    <row r="24" spans="1:29">
      <c r="A24" s="177"/>
      <c r="B24" s="178"/>
      <c r="C24" s="178"/>
      <c r="D24" s="178"/>
      <c r="E24" s="73"/>
      <c r="F24" s="73"/>
      <c r="G24" s="840" t="str">
        <f>IF($E24="","",E24*(VLOOKUP($F24,'Unit Conversions'!$A$12:$C$16,3,FALSE)*INDEX('Emission Factors'!$B$382:$H$442,MATCH(C24,'Emission Factors'!$B$382:$B$442,0),MATCH(D24,'Emission Factors'!$B$382:$H$382,0)))*1000)</f>
        <v/>
      </c>
      <c r="H24" s="202"/>
      <c r="I24" s="162"/>
      <c r="J24" s="162"/>
      <c r="K24" s="162"/>
      <c r="L24" s="162"/>
      <c r="M24" s="162"/>
      <c r="N24" s="162"/>
      <c r="O24" s="162"/>
      <c r="P24" s="162"/>
      <c r="Q24" s="162"/>
      <c r="R24" s="162"/>
      <c r="S24" s="162"/>
      <c r="T24" s="162"/>
      <c r="U24" s="162"/>
      <c r="V24" s="162"/>
      <c r="W24" s="162"/>
      <c r="X24" s="162"/>
      <c r="Y24" s="162"/>
      <c r="Z24" s="162"/>
      <c r="AA24" s="162"/>
      <c r="AB24" s="162"/>
      <c r="AC24" s="162"/>
    </row>
    <row r="25" spans="1:29">
      <c r="A25" s="177"/>
      <c r="B25" s="178"/>
      <c r="C25" s="178"/>
      <c r="D25" s="178"/>
      <c r="E25" s="73"/>
      <c r="F25" s="73"/>
      <c r="G25" s="840" t="str">
        <f>IF($E25="","",E25*(VLOOKUP($F25,'Unit Conversions'!$A$12:$C$16,3,FALSE)*INDEX('Emission Factors'!$B$382:$H$442,MATCH(C25,'Emission Factors'!$B$382:$B$442,0),MATCH(D25,'Emission Factors'!$B$382:$H$382,0)))*1000)</f>
        <v/>
      </c>
      <c r="H25" s="202"/>
      <c r="I25" s="162"/>
      <c r="J25" s="162"/>
      <c r="K25" s="162"/>
      <c r="L25" s="162"/>
      <c r="M25" s="162"/>
      <c r="N25" s="162"/>
      <c r="O25" s="162"/>
      <c r="P25" s="162"/>
      <c r="Q25" s="162"/>
      <c r="R25" s="162"/>
      <c r="S25" s="162"/>
      <c r="T25" s="162"/>
      <c r="U25" s="162"/>
      <c r="V25" s="162"/>
      <c r="W25" s="162"/>
      <c r="X25" s="162"/>
      <c r="Y25" s="162"/>
      <c r="Z25" s="162"/>
      <c r="AA25" s="162"/>
      <c r="AB25" s="162"/>
      <c r="AC25" s="162"/>
    </row>
    <row r="26" spans="1:29">
      <c r="A26" s="177"/>
      <c r="B26" s="178"/>
      <c r="C26" s="178"/>
      <c r="D26" s="178"/>
      <c r="E26" s="73"/>
      <c r="F26" s="73"/>
      <c r="G26" s="840" t="str">
        <f>IF($E26="","",E26*(VLOOKUP($F26,'Unit Conversions'!$A$12:$C$16,3,FALSE)*INDEX('Emission Factors'!$B$382:$H$442,MATCH(C26,'Emission Factors'!$B$382:$B$442,0),MATCH(D26,'Emission Factors'!$B$382:$H$382,0)))*1000)</f>
        <v/>
      </c>
      <c r="H26" s="202"/>
      <c r="I26" s="162"/>
      <c r="J26" s="162"/>
      <c r="K26" s="162"/>
      <c r="L26" s="162"/>
      <c r="M26" s="162"/>
      <c r="N26" s="162"/>
      <c r="O26" s="162"/>
      <c r="P26" s="162"/>
      <c r="Q26" s="162"/>
      <c r="R26" s="162"/>
      <c r="S26" s="162"/>
      <c r="T26" s="162"/>
      <c r="U26" s="162"/>
      <c r="V26" s="162"/>
      <c r="W26" s="162"/>
      <c r="X26" s="162"/>
      <c r="Y26" s="162"/>
      <c r="Z26" s="162"/>
      <c r="AA26" s="162"/>
      <c r="AB26" s="162"/>
      <c r="AC26" s="162"/>
    </row>
    <row r="27" spans="1:29">
      <c r="A27" s="177"/>
      <c r="B27" s="178"/>
      <c r="C27" s="178"/>
      <c r="D27" s="178"/>
      <c r="E27" s="73"/>
      <c r="F27" s="73"/>
      <c r="G27" s="840" t="str">
        <f>IF($E27="","",E27*(VLOOKUP($F27,'Unit Conversions'!$A$12:$C$16,3,FALSE)*INDEX('Emission Factors'!$B$382:$H$442,MATCH(C27,'Emission Factors'!$B$382:$B$442,0),MATCH(D27,'Emission Factors'!$B$382:$H$382,0)))*1000)</f>
        <v/>
      </c>
      <c r="H27" s="202"/>
      <c r="I27" s="162"/>
      <c r="J27" s="162"/>
      <c r="K27" s="162"/>
      <c r="L27" s="162"/>
      <c r="M27" s="162"/>
      <c r="N27" s="162"/>
      <c r="O27" s="162"/>
      <c r="P27" s="162"/>
      <c r="Q27" s="162"/>
      <c r="R27" s="162"/>
      <c r="S27" s="162"/>
      <c r="T27" s="162"/>
      <c r="U27" s="162"/>
      <c r="V27" s="162"/>
      <c r="W27" s="162"/>
      <c r="X27" s="162"/>
      <c r="Y27" s="162"/>
      <c r="Z27" s="162"/>
      <c r="AA27" s="162"/>
      <c r="AB27" s="162"/>
      <c r="AC27" s="162"/>
    </row>
    <row r="28" spans="1:29">
      <c r="A28" s="177"/>
      <c r="B28" s="178"/>
      <c r="C28" s="178"/>
      <c r="D28" s="178"/>
      <c r="E28" s="73"/>
      <c r="F28" s="73"/>
      <c r="G28" s="840" t="str">
        <f>IF($E28="","",E28*(VLOOKUP($F28,'Unit Conversions'!$A$12:$C$16,3,FALSE)*INDEX('Emission Factors'!$B$382:$H$442,MATCH(C28,'Emission Factors'!$B$382:$B$442,0),MATCH(D28,'Emission Factors'!$B$382:$H$382,0)))*1000)</f>
        <v/>
      </c>
      <c r="H28" s="202"/>
      <c r="I28" s="162"/>
      <c r="J28" s="162"/>
      <c r="K28" s="162"/>
      <c r="L28" s="162"/>
      <c r="M28" s="162"/>
      <c r="N28" s="162"/>
      <c r="O28" s="162"/>
      <c r="P28" s="162"/>
      <c r="Q28" s="162"/>
      <c r="R28" s="162"/>
      <c r="S28" s="162"/>
      <c r="T28" s="162"/>
      <c r="U28" s="162"/>
      <c r="V28" s="162"/>
      <c r="W28" s="162"/>
      <c r="X28" s="162"/>
      <c r="Y28" s="162"/>
      <c r="Z28" s="162"/>
      <c r="AA28" s="162"/>
      <c r="AB28" s="162"/>
      <c r="AC28" s="162"/>
    </row>
    <row r="29" spans="1:29">
      <c r="A29" s="177"/>
      <c r="B29" s="178"/>
      <c r="C29" s="178"/>
      <c r="D29" s="178"/>
      <c r="E29" s="73"/>
      <c r="F29" s="73"/>
      <c r="G29" s="840" t="str">
        <f>IF($E29="","",E29*(VLOOKUP($F29,'Unit Conversions'!$A$12:$C$16,3,FALSE)*INDEX('Emission Factors'!$B$382:$H$442,MATCH(C29,'Emission Factors'!$B$382:$B$442,0),MATCH(D29,'Emission Factors'!$B$382:$H$382,0)))*1000)</f>
        <v/>
      </c>
      <c r="H29" s="202"/>
      <c r="I29" s="162"/>
      <c r="J29" s="162"/>
      <c r="K29" s="162"/>
      <c r="L29" s="162"/>
      <c r="M29" s="162"/>
      <c r="N29" s="162"/>
      <c r="O29" s="162"/>
      <c r="P29" s="162"/>
      <c r="Q29" s="162"/>
      <c r="R29" s="162"/>
      <c r="S29" s="162"/>
      <c r="T29" s="162"/>
      <c r="U29" s="162"/>
      <c r="V29" s="162"/>
      <c r="W29" s="162"/>
      <c r="X29" s="162"/>
      <c r="Y29" s="162"/>
      <c r="Z29" s="162"/>
      <c r="AA29" s="162"/>
      <c r="AB29" s="162"/>
      <c r="AC29" s="162"/>
    </row>
    <row r="30" spans="1:29">
      <c r="A30" s="177"/>
      <c r="B30" s="178"/>
      <c r="C30" s="178"/>
      <c r="D30" s="178"/>
      <c r="E30" s="73"/>
      <c r="F30" s="73"/>
      <c r="G30" s="840" t="str">
        <f>IF($E30="","",E30*(VLOOKUP($F30,'Unit Conversions'!$A$12:$C$16,3,FALSE)*INDEX('Emission Factors'!$B$382:$H$442,MATCH(C30,'Emission Factors'!$B$382:$B$442,0),MATCH(D30,'Emission Factors'!$B$382:$H$382,0)))*1000)</f>
        <v/>
      </c>
      <c r="H30" s="202"/>
      <c r="I30" s="162"/>
      <c r="J30" s="162"/>
      <c r="K30" s="162"/>
      <c r="L30" s="162"/>
      <c r="M30" s="162"/>
      <c r="N30" s="162"/>
      <c r="O30" s="162"/>
      <c r="P30" s="162"/>
      <c r="Q30" s="162"/>
      <c r="R30" s="162"/>
      <c r="S30" s="162"/>
      <c r="T30" s="162"/>
      <c r="U30" s="162"/>
      <c r="V30" s="162"/>
      <c r="W30" s="162"/>
      <c r="X30" s="162"/>
      <c r="Y30" s="162"/>
      <c r="Z30" s="162"/>
      <c r="AA30" s="162"/>
      <c r="AB30" s="162"/>
      <c r="AC30" s="162"/>
    </row>
    <row r="31" spans="1:29">
      <c r="A31" s="177"/>
      <c r="B31" s="178"/>
      <c r="C31" s="178"/>
      <c r="D31" s="178"/>
      <c r="E31" s="73"/>
      <c r="F31" s="73"/>
      <c r="G31" s="840" t="str">
        <f>IF($E31="","",E31*(VLOOKUP($F31,'Unit Conversions'!$A$12:$C$16,3,FALSE)*INDEX('Emission Factors'!$B$382:$H$442,MATCH(C31,'Emission Factors'!$B$382:$B$442,0),MATCH(D31,'Emission Factors'!$B$382:$H$382,0)))*1000)</f>
        <v/>
      </c>
      <c r="H31" s="202"/>
      <c r="I31" s="162"/>
      <c r="J31" s="162"/>
      <c r="K31" s="162"/>
      <c r="L31" s="162"/>
      <c r="M31" s="162"/>
      <c r="N31" s="162"/>
      <c r="O31" s="162"/>
      <c r="P31" s="162"/>
      <c r="Q31" s="162"/>
      <c r="R31" s="162"/>
      <c r="S31" s="162"/>
      <c r="T31" s="162"/>
      <c r="U31" s="162"/>
      <c r="V31" s="162"/>
      <c r="W31" s="162"/>
      <c r="X31" s="162"/>
      <c r="Y31" s="162"/>
      <c r="Z31" s="162"/>
      <c r="AA31" s="162"/>
      <c r="AB31" s="162"/>
      <c r="AC31" s="162"/>
    </row>
    <row r="32" spans="1:29">
      <c r="A32" s="177"/>
      <c r="B32" s="178"/>
      <c r="C32" s="178"/>
      <c r="D32" s="178"/>
      <c r="E32" s="73"/>
      <c r="F32" s="73"/>
      <c r="G32" s="840" t="str">
        <f>IF($E32="","",E32*(VLOOKUP($F32,'Unit Conversions'!$A$12:$C$16,3,FALSE)*INDEX('Emission Factors'!$B$382:$H$442,MATCH(C32,'Emission Factors'!$B$382:$B$442,0),MATCH(D32,'Emission Factors'!$B$382:$H$382,0)))*1000)</f>
        <v/>
      </c>
      <c r="H32" s="202"/>
      <c r="I32" s="162"/>
      <c r="J32" s="162"/>
      <c r="K32" s="162"/>
      <c r="L32" s="162"/>
      <c r="M32" s="162"/>
      <c r="N32" s="162"/>
      <c r="O32" s="162"/>
      <c r="P32" s="162"/>
      <c r="Q32" s="162"/>
      <c r="R32" s="162"/>
      <c r="S32" s="162"/>
      <c r="T32" s="162"/>
      <c r="U32" s="162"/>
      <c r="V32" s="162"/>
      <c r="W32" s="162"/>
      <c r="X32" s="162"/>
      <c r="Y32" s="162"/>
      <c r="Z32" s="162"/>
      <c r="AA32" s="162"/>
      <c r="AB32" s="162"/>
      <c r="AC32" s="162"/>
    </row>
    <row r="33" spans="1:29">
      <c r="A33" s="177"/>
      <c r="B33" s="178"/>
      <c r="C33" s="178"/>
      <c r="D33" s="178"/>
      <c r="E33" s="73"/>
      <c r="F33" s="73"/>
      <c r="G33" s="840" t="str">
        <f>IF($E33="","",E33*(VLOOKUP($F33,'Unit Conversions'!$A$12:$C$16,3,FALSE)*INDEX('Emission Factors'!$B$382:$H$442,MATCH(C33,'Emission Factors'!$B$382:$B$442,0),MATCH(D33,'Emission Factors'!$B$382:$H$382,0)))*1000)</f>
        <v/>
      </c>
      <c r="H33" s="202"/>
      <c r="I33" s="162"/>
      <c r="J33" s="162"/>
      <c r="K33" s="162"/>
      <c r="L33" s="162"/>
      <c r="M33" s="162"/>
      <c r="N33" s="162"/>
      <c r="O33" s="162"/>
      <c r="P33" s="162"/>
      <c r="Q33" s="162"/>
      <c r="R33" s="162"/>
      <c r="S33" s="162"/>
      <c r="T33" s="162"/>
      <c r="U33" s="162"/>
      <c r="V33" s="162"/>
      <c r="W33" s="162"/>
      <c r="X33" s="162"/>
      <c r="Y33" s="162"/>
      <c r="Z33" s="162"/>
      <c r="AA33" s="162"/>
      <c r="AB33" s="162"/>
      <c r="AC33" s="162"/>
    </row>
    <row r="34" spans="1:29">
      <c r="A34" s="177"/>
      <c r="B34" s="178"/>
      <c r="C34" s="178"/>
      <c r="D34" s="178"/>
      <c r="E34" s="73"/>
      <c r="F34" s="73"/>
      <c r="G34" s="840" t="str">
        <f>IF($E34="","",E34*(VLOOKUP($F34,'Unit Conversions'!$A$12:$C$16,3,FALSE)*INDEX('Emission Factors'!$B$382:$H$442,MATCH(C34,'Emission Factors'!$B$382:$B$442,0),MATCH(D34,'Emission Factors'!$B$382:$H$382,0)))*1000)</f>
        <v/>
      </c>
      <c r="H34" s="202"/>
      <c r="I34" s="162"/>
      <c r="J34" s="162"/>
      <c r="K34" s="162"/>
      <c r="L34" s="162"/>
      <c r="M34" s="162"/>
      <c r="N34" s="162"/>
      <c r="O34" s="162"/>
      <c r="P34" s="162"/>
      <c r="Q34" s="162"/>
      <c r="R34" s="162"/>
      <c r="S34" s="162"/>
      <c r="T34" s="162"/>
      <c r="U34" s="162"/>
      <c r="V34" s="162"/>
      <c r="W34" s="162"/>
      <c r="X34" s="162"/>
      <c r="Y34" s="162"/>
      <c r="Z34" s="162"/>
      <c r="AA34" s="162"/>
      <c r="AB34" s="162"/>
      <c r="AC34" s="162"/>
    </row>
    <row r="35" spans="1:29">
      <c r="A35" s="177"/>
      <c r="B35" s="178"/>
      <c r="C35" s="178"/>
      <c r="D35" s="178"/>
      <c r="E35" s="73"/>
      <c r="F35" s="73"/>
      <c r="G35" s="840" t="str">
        <f>IF($E35="","",E35*(VLOOKUP($F35,'Unit Conversions'!$A$12:$C$16,3,FALSE)*INDEX('Emission Factors'!$B$382:$H$442,MATCH(C35,'Emission Factors'!$B$382:$B$442,0),MATCH(D35,'Emission Factors'!$B$382:$H$382,0)))*1000)</f>
        <v/>
      </c>
      <c r="H35" s="202"/>
      <c r="I35" s="162"/>
      <c r="J35" s="162"/>
      <c r="K35" s="162"/>
      <c r="L35" s="162"/>
      <c r="M35" s="162"/>
      <c r="N35" s="162"/>
      <c r="O35" s="162"/>
      <c r="P35" s="162"/>
      <c r="Q35" s="162"/>
      <c r="R35" s="162"/>
      <c r="S35" s="162"/>
      <c r="T35" s="162"/>
      <c r="U35" s="162"/>
      <c r="V35" s="162"/>
      <c r="W35" s="162"/>
      <c r="X35" s="162"/>
      <c r="Y35" s="162"/>
      <c r="Z35" s="162"/>
      <c r="AA35" s="162"/>
      <c r="AB35" s="162"/>
      <c r="AC35" s="162"/>
    </row>
    <row r="36" spans="1:29">
      <c r="A36" s="177"/>
      <c r="B36" s="178"/>
      <c r="C36" s="178"/>
      <c r="D36" s="178"/>
      <c r="E36" s="73"/>
      <c r="F36" s="73"/>
      <c r="G36" s="840" t="str">
        <f>IF($E36="","",E36*(VLOOKUP($F36,'Unit Conversions'!$A$12:$C$16,3,FALSE)*INDEX('Emission Factors'!$B$382:$H$442,MATCH(C36,'Emission Factors'!$B$382:$B$442,0),MATCH(D36,'Emission Factors'!$B$382:$H$382,0)))*1000)</f>
        <v/>
      </c>
      <c r="H36" s="202"/>
      <c r="I36" s="162"/>
      <c r="J36" s="162"/>
      <c r="K36" s="162"/>
      <c r="L36" s="162"/>
      <c r="M36" s="162"/>
      <c r="N36" s="162"/>
      <c r="O36" s="162"/>
      <c r="P36" s="162"/>
      <c r="Q36" s="162"/>
      <c r="R36" s="162"/>
      <c r="S36" s="162"/>
      <c r="T36" s="162"/>
      <c r="U36" s="162"/>
      <c r="V36" s="162"/>
      <c r="W36" s="162"/>
      <c r="X36" s="162"/>
      <c r="Y36" s="162"/>
      <c r="Z36" s="162"/>
      <c r="AA36" s="162"/>
      <c r="AB36" s="162"/>
      <c r="AC36" s="162"/>
    </row>
    <row r="37" spans="1:29">
      <c r="A37" s="177"/>
      <c r="B37" s="178"/>
      <c r="C37" s="178"/>
      <c r="D37" s="178"/>
      <c r="E37" s="73"/>
      <c r="F37" s="73"/>
      <c r="G37" s="840" t="str">
        <f>IF($E37="","",E37*(VLOOKUP($F37,'Unit Conversions'!$A$12:$C$16,3,FALSE)*INDEX('Emission Factors'!$B$382:$H$442,MATCH(C37,'Emission Factors'!$B$382:$B$442,0),MATCH(D37,'Emission Factors'!$B$382:$H$382,0)))*1000)</f>
        <v/>
      </c>
      <c r="H37" s="202"/>
      <c r="I37" s="162"/>
      <c r="J37" s="162"/>
      <c r="K37" s="162"/>
      <c r="L37" s="162"/>
      <c r="M37" s="162"/>
      <c r="N37" s="162"/>
      <c r="O37" s="162"/>
      <c r="P37" s="162"/>
      <c r="Q37" s="162"/>
      <c r="R37" s="162"/>
      <c r="S37" s="162"/>
      <c r="T37" s="162"/>
      <c r="U37" s="162"/>
      <c r="V37" s="162"/>
      <c r="W37" s="162"/>
      <c r="X37" s="162"/>
      <c r="Y37" s="162"/>
      <c r="Z37" s="162"/>
      <c r="AA37" s="162"/>
      <c r="AB37" s="162"/>
      <c r="AC37" s="162"/>
    </row>
    <row r="38" spans="1:29">
      <c r="A38" s="177"/>
      <c r="B38" s="178"/>
      <c r="C38" s="178"/>
      <c r="D38" s="178"/>
      <c r="E38" s="73"/>
      <c r="F38" s="73"/>
      <c r="G38" s="840" t="str">
        <f>IF($E38="","",E38*(VLOOKUP($F38,'Unit Conversions'!$A$12:$C$16,3,FALSE)*INDEX('Emission Factors'!$B$382:$H$442,MATCH(C38,'Emission Factors'!$B$382:$B$442,0),MATCH(D38,'Emission Factors'!$B$382:$H$382,0)))*1000)</f>
        <v/>
      </c>
      <c r="H38" s="202"/>
      <c r="I38" s="162"/>
      <c r="J38" s="162"/>
      <c r="K38" s="162"/>
      <c r="L38" s="162"/>
      <c r="M38" s="162"/>
      <c r="N38" s="162"/>
      <c r="O38" s="162"/>
      <c r="P38" s="162"/>
      <c r="Q38" s="162"/>
      <c r="R38" s="162"/>
      <c r="S38" s="162"/>
      <c r="T38" s="162"/>
      <c r="U38" s="162"/>
      <c r="V38" s="162"/>
      <c r="W38" s="162"/>
      <c r="X38" s="162"/>
      <c r="Y38" s="162"/>
      <c r="Z38" s="162"/>
      <c r="AA38" s="162"/>
      <c r="AB38" s="162"/>
      <c r="AC38" s="162"/>
    </row>
    <row r="39" spans="1:29">
      <c r="A39" s="177"/>
      <c r="B39" s="178"/>
      <c r="C39" s="178"/>
      <c r="D39" s="178"/>
      <c r="E39" s="73"/>
      <c r="F39" s="73"/>
      <c r="G39" s="840" t="str">
        <f>IF($E39="","",E39*(VLOOKUP($F39,'Unit Conversions'!$A$12:$C$16,3,FALSE)*INDEX('Emission Factors'!$B$382:$H$442,MATCH(C39,'Emission Factors'!$B$382:$B$442,0),MATCH(D39,'Emission Factors'!$B$382:$H$382,0)))*1000)</f>
        <v/>
      </c>
      <c r="H39" s="202"/>
      <c r="I39" s="162"/>
      <c r="J39" s="162"/>
      <c r="K39" s="162"/>
      <c r="L39" s="162"/>
      <c r="M39" s="162"/>
      <c r="N39" s="162"/>
      <c r="O39" s="162"/>
      <c r="P39" s="162"/>
      <c r="Q39" s="162"/>
      <c r="R39" s="162"/>
      <c r="S39" s="162"/>
      <c r="T39" s="162"/>
      <c r="U39" s="162"/>
      <c r="V39" s="162"/>
      <c r="W39" s="162"/>
      <c r="X39" s="162"/>
      <c r="Y39" s="162"/>
      <c r="Z39" s="162"/>
      <c r="AA39" s="162"/>
      <c r="AB39" s="162"/>
      <c r="AC39" s="162"/>
    </row>
    <row r="40" spans="1:29">
      <c r="A40" s="177"/>
      <c r="B40" s="178"/>
      <c r="C40" s="178"/>
      <c r="D40" s="178"/>
      <c r="E40" s="73"/>
      <c r="F40" s="73"/>
      <c r="G40" s="840" t="str">
        <f>IF($E40="","",E40*(VLOOKUP($F40,'Unit Conversions'!$A$12:$C$16,3,FALSE)*INDEX('Emission Factors'!$B$382:$H$442,MATCH(C40,'Emission Factors'!$B$382:$B$442,0),MATCH(D40,'Emission Factors'!$B$382:$H$382,0)))*1000)</f>
        <v/>
      </c>
      <c r="H40" s="202"/>
      <c r="I40" s="162"/>
      <c r="J40" s="162"/>
      <c r="K40" s="162"/>
      <c r="L40" s="162"/>
      <c r="M40" s="162"/>
      <c r="N40" s="162"/>
      <c r="O40" s="162"/>
      <c r="P40" s="162"/>
      <c r="Q40" s="162"/>
      <c r="R40" s="162"/>
      <c r="S40" s="162"/>
      <c r="T40" s="162"/>
      <c r="U40" s="162"/>
      <c r="V40" s="162"/>
      <c r="W40" s="162"/>
      <c r="X40" s="162"/>
      <c r="Y40" s="162"/>
      <c r="Z40" s="162"/>
      <c r="AA40" s="162"/>
      <c r="AB40" s="162"/>
      <c r="AC40" s="162"/>
    </row>
    <row r="41" spans="1:29">
      <c r="A41" s="177"/>
      <c r="B41" s="178"/>
      <c r="C41" s="178"/>
      <c r="D41" s="178"/>
      <c r="E41" s="73"/>
      <c r="F41" s="73"/>
      <c r="G41" s="840" t="str">
        <f>IF($E41="","",E41*(VLOOKUP($F41,'Unit Conversions'!$A$12:$C$16,3,FALSE)*INDEX('Emission Factors'!$B$382:$H$442,MATCH(C41,'Emission Factors'!$B$382:$B$442,0),MATCH(D41,'Emission Factors'!$B$382:$H$382,0)))*1000)</f>
        <v/>
      </c>
      <c r="H41" s="202"/>
      <c r="I41" s="162"/>
      <c r="J41" s="162"/>
      <c r="K41" s="162"/>
      <c r="L41" s="162"/>
      <c r="M41" s="162"/>
      <c r="N41" s="162"/>
      <c r="O41" s="162"/>
      <c r="P41" s="162"/>
      <c r="Q41" s="162"/>
      <c r="R41" s="162"/>
      <c r="S41" s="162"/>
      <c r="T41" s="162"/>
      <c r="U41" s="162"/>
      <c r="V41" s="162"/>
      <c r="W41" s="162"/>
      <c r="X41" s="162"/>
      <c r="Y41" s="162"/>
      <c r="Z41" s="162"/>
      <c r="AA41" s="162"/>
      <c r="AB41" s="162"/>
      <c r="AC41" s="162"/>
    </row>
    <row r="42" spans="1:29">
      <c r="A42" s="177"/>
      <c r="B42" s="178"/>
      <c r="C42" s="178"/>
      <c r="D42" s="178"/>
      <c r="E42" s="73"/>
      <c r="F42" s="73"/>
      <c r="G42" s="840" t="str">
        <f>IF($E42="","",E42*(VLOOKUP($F42,'Unit Conversions'!$A$12:$C$16,3,FALSE)*INDEX('Emission Factors'!$B$382:$H$442,MATCH(C42,'Emission Factors'!$B$382:$B$442,0),MATCH(D42,'Emission Factors'!$B$382:$H$382,0)))*1000)</f>
        <v/>
      </c>
      <c r="H42" s="202"/>
      <c r="I42" s="162"/>
      <c r="J42" s="162"/>
      <c r="K42" s="162"/>
      <c r="L42" s="162"/>
      <c r="M42" s="162"/>
      <c r="N42" s="162"/>
      <c r="O42" s="162"/>
      <c r="P42" s="162"/>
      <c r="Q42" s="162"/>
      <c r="R42" s="162"/>
      <c r="S42" s="162"/>
      <c r="T42" s="162"/>
      <c r="U42" s="162"/>
      <c r="V42" s="162"/>
      <c r="W42" s="162"/>
      <c r="X42" s="162"/>
      <c r="Y42" s="162"/>
      <c r="Z42" s="162"/>
      <c r="AA42" s="162"/>
      <c r="AB42" s="162"/>
      <c r="AC42" s="162"/>
    </row>
    <row r="43" spans="1:29">
      <c r="A43" s="177"/>
      <c r="B43" s="178"/>
      <c r="C43" s="178"/>
      <c r="D43" s="178"/>
      <c r="E43" s="73"/>
      <c r="F43" s="73"/>
      <c r="G43" s="840" t="str">
        <f>IF($E43="","",E43*(VLOOKUP($F43,'Unit Conversions'!$A$12:$C$16,3,FALSE)*INDEX('Emission Factors'!$B$382:$H$442,MATCH(C43,'Emission Factors'!$B$382:$B$442,0),MATCH(D43,'Emission Factors'!$B$382:$H$382,0)))*1000)</f>
        <v/>
      </c>
      <c r="H43" s="202"/>
      <c r="I43" s="162"/>
      <c r="J43" s="162"/>
      <c r="K43" s="162"/>
      <c r="L43" s="162"/>
      <c r="M43" s="162"/>
      <c r="N43" s="162"/>
      <c r="O43" s="162"/>
      <c r="P43" s="162"/>
      <c r="Q43" s="162"/>
      <c r="R43" s="162"/>
      <c r="S43" s="162"/>
      <c r="T43" s="162"/>
      <c r="U43" s="162"/>
      <c r="V43" s="162"/>
      <c r="W43" s="162"/>
      <c r="X43" s="162"/>
      <c r="Y43" s="162"/>
      <c r="Z43" s="162"/>
      <c r="AA43" s="162"/>
      <c r="AB43" s="162"/>
      <c r="AC43" s="162"/>
    </row>
    <row r="44" spans="1:29">
      <c r="A44" s="177"/>
      <c r="B44" s="178"/>
      <c r="C44" s="178"/>
      <c r="D44" s="178"/>
      <c r="E44" s="73"/>
      <c r="F44" s="73"/>
      <c r="G44" s="840" t="str">
        <f>IF($E44="","",E44*(VLOOKUP($F44,'Unit Conversions'!$A$12:$C$16,3,FALSE)*INDEX('Emission Factors'!$B$382:$H$442,MATCH(C44,'Emission Factors'!$B$382:$B$442,0),MATCH(D44,'Emission Factors'!$B$382:$H$382,0)))*1000)</f>
        <v/>
      </c>
      <c r="H44" s="202"/>
      <c r="I44" s="162"/>
      <c r="J44" s="162"/>
      <c r="K44" s="162"/>
      <c r="L44" s="162"/>
      <c r="M44" s="162"/>
      <c r="N44" s="162"/>
      <c r="O44" s="162"/>
      <c r="P44" s="162"/>
      <c r="Q44" s="162"/>
      <c r="R44" s="162"/>
      <c r="S44" s="162"/>
      <c r="T44" s="162"/>
      <c r="U44" s="162"/>
      <c r="V44" s="162"/>
      <c r="W44" s="162"/>
      <c r="X44" s="162"/>
      <c r="Y44" s="162"/>
      <c r="Z44" s="162"/>
      <c r="AA44" s="162"/>
      <c r="AB44" s="162"/>
      <c r="AC44" s="162"/>
    </row>
    <row r="45" spans="1:29">
      <c r="A45" s="177"/>
      <c r="B45" s="178"/>
      <c r="C45" s="178"/>
      <c r="D45" s="178"/>
      <c r="E45" s="73"/>
      <c r="F45" s="73"/>
      <c r="G45" s="840" t="str">
        <f>IF($E45="","",E45*(VLOOKUP($F45,'Unit Conversions'!$A$12:$C$16,3,FALSE)*INDEX('Emission Factors'!$B$382:$H$442,MATCH(C45,'Emission Factors'!$B$382:$B$442,0),MATCH(D45,'Emission Factors'!$B$382:$H$382,0)))*1000)</f>
        <v/>
      </c>
      <c r="H45" s="202"/>
      <c r="I45" s="162"/>
      <c r="J45" s="162"/>
      <c r="K45" s="162"/>
      <c r="L45" s="162"/>
      <c r="M45" s="162"/>
      <c r="N45" s="162"/>
      <c r="O45" s="162"/>
      <c r="P45" s="162"/>
      <c r="Q45" s="162"/>
      <c r="R45" s="162"/>
      <c r="S45" s="162"/>
      <c r="T45" s="162"/>
      <c r="U45" s="162"/>
      <c r="V45" s="162"/>
      <c r="W45" s="162"/>
      <c r="X45" s="162"/>
      <c r="Y45" s="162"/>
      <c r="Z45" s="162"/>
      <c r="AA45" s="162"/>
      <c r="AB45" s="162"/>
      <c r="AC45" s="162"/>
    </row>
    <row r="46" spans="1:29">
      <c r="A46" s="177"/>
      <c r="B46" s="178"/>
      <c r="C46" s="178"/>
      <c r="D46" s="178"/>
      <c r="E46" s="73"/>
      <c r="F46" s="73"/>
      <c r="G46" s="840" t="str">
        <f>IF($E46="","",E46*(VLOOKUP($F46,'Unit Conversions'!$A$12:$C$16,3,FALSE)*INDEX('Emission Factors'!$B$382:$H$442,MATCH(C46,'Emission Factors'!$B$382:$B$442,0),MATCH(D46,'Emission Factors'!$B$382:$H$382,0)))*1000)</f>
        <v/>
      </c>
      <c r="H46" s="202"/>
      <c r="I46" s="162"/>
      <c r="J46" s="162"/>
      <c r="K46" s="162"/>
      <c r="L46" s="162"/>
      <c r="M46" s="162"/>
      <c r="N46" s="162"/>
      <c r="O46" s="162"/>
      <c r="P46" s="162"/>
      <c r="Q46" s="162"/>
      <c r="R46" s="162"/>
      <c r="S46" s="162"/>
      <c r="T46" s="162"/>
      <c r="U46" s="162"/>
      <c r="V46" s="162"/>
      <c r="W46" s="162"/>
      <c r="X46" s="162"/>
      <c r="Y46" s="162"/>
      <c r="Z46" s="162"/>
      <c r="AA46" s="162"/>
      <c r="AB46" s="162"/>
      <c r="AC46" s="162"/>
    </row>
    <row r="47" spans="1:29">
      <c r="A47" s="177"/>
      <c r="B47" s="178"/>
      <c r="C47" s="178"/>
      <c r="D47" s="178"/>
      <c r="E47" s="73"/>
      <c r="F47" s="73"/>
      <c r="G47" s="840" t="str">
        <f>IF($E47="","",E47*(VLOOKUP($F47,'Unit Conversions'!$A$12:$C$16,3,FALSE)*INDEX('Emission Factors'!$B$382:$H$442,MATCH(C47,'Emission Factors'!$B$382:$B$442,0),MATCH(D47,'Emission Factors'!$B$382:$H$382,0)))*1000)</f>
        <v/>
      </c>
      <c r="H47" s="202"/>
      <c r="I47" s="162"/>
      <c r="J47" s="162"/>
      <c r="K47" s="162"/>
      <c r="L47" s="162"/>
      <c r="M47" s="162"/>
      <c r="N47" s="162"/>
      <c r="O47" s="162"/>
      <c r="P47" s="162"/>
      <c r="Q47" s="162"/>
      <c r="R47" s="162"/>
      <c r="S47" s="162"/>
      <c r="T47" s="162"/>
      <c r="U47" s="162"/>
      <c r="V47" s="162"/>
      <c r="W47" s="162"/>
      <c r="X47" s="162"/>
      <c r="Y47" s="162"/>
      <c r="Z47" s="162"/>
      <c r="AA47" s="162"/>
      <c r="AB47" s="162"/>
      <c r="AC47" s="162"/>
    </row>
    <row r="48" spans="1:29">
      <c r="A48" s="65"/>
      <c r="B48" s="723"/>
      <c r="C48" s="178"/>
      <c r="D48" s="178"/>
      <c r="E48" s="73"/>
      <c r="F48" s="73"/>
      <c r="G48" s="840" t="str">
        <f>IF($E48="","",E48*(VLOOKUP($F48,'Unit Conversions'!$A$12:$C$16,3,FALSE)*INDEX('Emission Factors'!$B$382:$H$442,MATCH(C48,'Emission Factors'!$B$382:$B$442,0),MATCH(D48,'Emission Factors'!$B$382:$H$382,0)))*1000)</f>
        <v/>
      </c>
      <c r="H48" s="202"/>
      <c r="I48" s="162"/>
      <c r="J48" s="162"/>
      <c r="K48" s="162"/>
      <c r="L48" s="162"/>
      <c r="M48" s="162"/>
      <c r="N48" s="162"/>
      <c r="O48" s="162"/>
      <c r="P48" s="162"/>
      <c r="Q48" s="162"/>
      <c r="R48" s="162"/>
      <c r="S48" s="162"/>
      <c r="T48" s="162"/>
      <c r="U48" s="162"/>
      <c r="V48" s="162"/>
      <c r="W48" s="162"/>
      <c r="X48" s="162"/>
      <c r="Y48" s="162"/>
      <c r="Z48" s="162"/>
      <c r="AA48" s="162"/>
      <c r="AB48" s="162"/>
      <c r="AC48" s="162"/>
    </row>
    <row r="49" spans="1:29">
      <c r="A49" s="65"/>
      <c r="B49" s="29"/>
      <c r="C49" s="178"/>
      <c r="D49" s="178"/>
      <c r="E49" s="73"/>
      <c r="F49" s="73"/>
      <c r="G49" s="840" t="str">
        <f>IF($E49="","",E49*(VLOOKUP($F49,'Unit Conversions'!$A$12:$C$16,3,FALSE)*INDEX('Emission Factors'!$B$382:$H$442,MATCH(C49,'Emission Factors'!$B$382:$B$442,0),MATCH(D49,'Emission Factors'!$B$382:$H$382,0)))*1000)</f>
        <v/>
      </c>
      <c r="H49" s="162"/>
      <c r="I49" s="162"/>
      <c r="J49" s="162"/>
      <c r="K49" s="162"/>
      <c r="L49" s="162"/>
      <c r="M49" s="162"/>
      <c r="N49" s="162"/>
      <c r="O49" s="162"/>
      <c r="P49" s="162"/>
      <c r="Q49" s="162"/>
      <c r="R49" s="162"/>
      <c r="S49" s="162"/>
      <c r="T49" s="162"/>
      <c r="U49" s="162"/>
      <c r="V49" s="162"/>
      <c r="W49" s="162"/>
      <c r="X49" s="162"/>
      <c r="Y49" s="162"/>
      <c r="Z49" s="162"/>
      <c r="AA49" s="162"/>
      <c r="AB49" s="162"/>
      <c r="AC49" s="162"/>
    </row>
    <row r="50" spans="1:29">
      <c r="A50" s="65"/>
      <c r="B50" s="29"/>
      <c r="C50" s="178"/>
      <c r="D50" s="178"/>
      <c r="E50" s="73"/>
      <c r="F50" s="73"/>
      <c r="G50" s="840" t="str">
        <f>IF($E50="","",E50*(VLOOKUP($F50,'Unit Conversions'!$A$12:$C$16,3,FALSE)*INDEX('Emission Factors'!$B$382:$H$442,MATCH(C50,'Emission Factors'!$B$382:$B$442,0),MATCH(D50,'Emission Factors'!$B$382:$H$382,0)))*1000)</f>
        <v/>
      </c>
      <c r="H50" s="162"/>
      <c r="I50" s="162"/>
      <c r="J50" s="162"/>
      <c r="K50" s="162"/>
      <c r="L50" s="162"/>
      <c r="M50" s="162"/>
      <c r="N50" s="162"/>
      <c r="O50" s="162"/>
      <c r="P50" s="162"/>
      <c r="Q50" s="162"/>
      <c r="R50" s="162"/>
      <c r="S50" s="162"/>
      <c r="T50" s="162"/>
      <c r="U50" s="162"/>
      <c r="V50" s="162"/>
      <c r="W50" s="162"/>
      <c r="X50" s="162"/>
      <c r="Y50" s="162"/>
      <c r="Z50" s="162"/>
      <c r="AA50" s="162"/>
      <c r="AB50" s="162"/>
      <c r="AC50" s="162"/>
    </row>
    <row r="51" spans="1:29">
      <c r="A51" s="724"/>
      <c r="B51" s="29"/>
      <c r="C51" s="725"/>
      <c r="D51" s="178"/>
      <c r="E51" s="73"/>
      <c r="F51" s="73"/>
      <c r="G51" s="840" t="str">
        <f>IF($E51="","",E51*(VLOOKUP($F51,'Unit Conversions'!$A$12:$C$16,3,FALSE)*INDEX('Emission Factors'!$B$382:$H$442,MATCH(C51,'Emission Factors'!$B$382:$B$442,0),MATCH(D51,'Emission Factors'!$B$382:$H$382,0)))*1000)</f>
        <v/>
      </c>
      <c r="H51" s="162"/>
      <c r="I51" s="162"/>
      <c r="J51" s="162"/>
      <c r="K51" s="162"/>
      <c r="L51" s="162"/>
      <c r="M51" s="162"/>
      <c r="N51" s="162"/>
      <c r="O51" s="162"/>
      <c r="P51" s="162"/>
      <c r="Q51" s="162"/>
      <c r="R51" s="162"/>
      <c r="S51" s="162"/>
      <c r="T51" s="162"/>
      <c r="U51" s="162"/>
      <c r="V51" s="162"/>
      <c r="W51" s="162"/>
      <c r="X51" s="162"/>
      <c r="Y51" s="162"/>
      <c r="Z51" s="162"/>
      <c r="AA51" s="162"/>
      <c r="AB51" s="162"/>
      <c r="AC51" s="162"/>
    </row>
    <row r="52" spans="1:29">
      <c r="A52" s="65"/>
      <c r="B52" s="723"/>
      <c r="C52" s="178"/>
      <c r="D52" s="178"/>
      <c r="E52" s="73"/>
      <c r="F52" s="73"/>
      <c r="G52" s="840" t="str">
        <f>IF($E52="","",E52*(VLOOKUP($F52,'Unit Conversions'!$A$12:$C$16,3,FALSE)*INDEX('Emission Factors'!$B$382:$H$442,MATCH(C52,'Emission Factors'!$B$382:$B$442,0),MATCH(D52,'Emission Factors'!$B$382:$H$382,0)))*1000)</f>
        <v/>
      </c>
      <c r="H52" s="162"/>
      <c r="I52" s="162"/>
      <c r="J52" s="162"/>
      <c r="K52" s="162"/>
      <c r="L52" s="162"/>
      <c r="M52" s="162"/>
      <c r="N52" s="162"/>
      <c r="O52" s="162"/>
      <c r="P52" s="162"/>
      <c r="Q52" s="162"/>
      <c r="R52" s="162"/>
      <c r="S52" s="162"/>
      <c r="T52" s="162"/>
      <c r="U52" s="162"/>
      <c r="V52" s="162"/>
      <c r="W52" s="162"/>
      <c r="X52" s="162"/>
      <c r="Y52" s="162"/>
      <c r="Z52" s="162"/>
      <c r="AA52" s="162"/>
      <c r="AB52" s="162"/>
      <c r="AC52" s="162"/>
    </row>
    <row r="53" spans="1:29">
      <c r="A53" s="65"/>
      <c r="B53" s="29"/>
      <c r="C53" s="178"/>
      <c r="D53" s="178"/>
      <c r="E53" s="73"/>
      <c r="F53" s="73"/>
      <c r="G53" s="840" t="str">
        <f>IF($E53="","",E53*(VLOOKUP($F53,'Unit Conversions'!$A$12:$C$16,3,FALSE)*INDEX('Emission Factors'!$B$382:$H$442,MATCH(C53,'Emission Factors'!$B$382:$B$442,0),MATCH(D53,'Emission Factors'!$B$382:$H$382,0)))*1000)</f>
        <v/>
      </c>
      <c r="H53" s="162"/>
      <c r="I53" s="162"/>
      <c r="J53" s="162"/>
      <c r="K53" s="162"/>
      <c r="L53" s="162"/>
      <c r="M53" s="162"/>
      <c r="N53" s="162"/>
      <c r="O53" s="162"/>
      <c r="P53" s="162"/>
      <c r="Q53" s="162"/>
      <c r="R53" s="162"/>
      <c r="S53" s="162"/>
      <c r="T53" s="162"/>
      <c r="U53" s="162"/>
      <c r="V53" s="162"/>
      <c r="W53" s="162"/>
      <c r="X53" s="162"/>
      <c r="Y53" s="162"/>
      <c r="Z53" s="162"/>
      <c r="AA53" s="162"/>
      <c r="AB53" s="162"/>
      <c r="AC53" s="162"/>
    </row>
    <row r="54" spans="1:29">
      <c r="A54" s="65"/>
      <c r="B54" s="29"/>
      <c r="C54" s="178"/>
      <c r="D54" s="178"/>
      <c r="E54" s="73"/>
      <c r="F54" s="73"/>
      <c r="G54" s="840" t="str">
        <f>IF($E54="","",E54*(VLOOKUP($F54,'Unit Conversions'!$A$12:$C$16,3,FALSE)*INDEX('Emission Factors'!$B$382:$H$442,MATCH(C54,'Emission Factors'!$B$382:$B$442,0),MATCH(D54,'Emission Factors'!$B$382:$H$382,0)))*1000)</f>
        <v/>
      </c>
      <c r="H54" s="162"/>
      <c r="I54" s="162"/>
      <c r="J54" s="162"/>
      <c r="K54" s="162"/>
      <c r="L54" s="162"/>
      <c r="M54" s="162"/>
      <c r="N54" s="162"/>
      <c r="O54" s="162"/>
      <c r="P54" s="162"/>
      <c r="Q54" s="162"/>
      <c r="R54" s="162"/>
      <c r="S54" s="162"/>
      <c r="T54" s="162"/>
      <c r="U54" s="162"/>
      <c r="V54" s="162"/>
      <c r="W54" s="162"/>
      <c r="X54" s="162"/>
      <c r="Y54" s="162"/>
      <c r="Z54" s="162"/>
      <c r="AA54" s="162"/>
      <c r="AB54" s="162"/>
      <c r="AC54" s="162"/>
    </row>
    <row r="55" spans="1:29">
      <c r="A55" s="65"/>
      <c r="B55" s="29"/>
      <c r="C55" s="178"/>
      <c r="D55" s="178"/>
      <c r="E55" s="73"/>
      <c r="F55" s="73"/>
      <c r="G55" s="840" t="str">
        <f>IF($E55="","",E55*(VLOOKUP($F55,'Unit Conversions'!$A$12:$C$16,3,FALSE)*INDEX('Emission Factors'!$B$382:$H$442,MATCH(C55,'Emission Factors'!$B$382:$B$442,0),MATCH(D55,'Emission Factors'!$B$382:$H$382,0)))*1000)</f>
        <v/>
      </c>
      <c r="H55" s="162"/>
      <c r="I55" s="162"/>
      <c r="J55" s="162"/>
      <c r="K55" s="162"/>
      <c r="L55" s="162"/>
      <c r="M55" s="162"/>
      <c r="N55" s="162"/>
      <c r="O55" s="162"/>
      <c r="P55" s="162"/>
      <c r="Q55" s="162"/>
      <c r="R55" s="162"/>
      <c r="S55" s="162"/>
      <c r="T55" s="162"/>
      <c r="U55" s="162"/>
      <c r="V55" s="162"/>
      <c r="W55" s="162"/>
      <c r="X55" s="162"/>
      <c r="Y55" s="162"/>
      <c r="Z55" s="162"/>
      <c r="AA55" s="162"/>
      <c r="AB55" s="162"/>
      <c r="AC55" s="162"/>
    </row>
    <row r="56" spans="1:29">
      <c r="A56" s="65"/>
      <c r="B56" s="29"/>
      <c r="C56" s="178"/>
      <c r="D56" s="178"/>
      <c r="E56" s="73"/>
      <c r="F56" s="73"/>
      <c r="G56" s="840" t="str">
        <f>IF($E56="","",E56*(VLOOKUP($F56,'Unit Conversions'!$A$12:$C$16,3,FALSE)*INDEX('Emission Factors'!$B$382:$H$442,MATCH(C56,'Emission Factors'!$B$382:$B$442,0),MATCH(D56,'Emission Factors'!$B$382:$H$382,0)))*1000)</f>
        <v/>
      </c>
      <c r="H56" s="162"/>
      <c r="I56" s="162"/>
      <c r="J56" s="162"/>
      <c r="K56" s="162"/>
      <c r="L56" s="162"/>
      <c r="M56" s="162"/>
      <c r="N56" s="162"/>
      <c r="O56" s="162"/>
      <c r="P56" s="162"/>
      <c r="Q56" s="162"/>
      <c r="R56" s="162"/>
      <c r="S56" s="162"/>
      <c r="T56" s="162"/>
      <c r="U56" s="162"/>
      <c r="V56" s="162"/>
      <c r="W56" s="162"/>
      <c r="X56" s="162"/>
      <c r="Y56" s="162"/>
      <c r="Z56" s="162"/>
      <c r="AA56" s="162"/>
      <c r="AB56" s="162"/>
      <c r="AC56" s="162"/>
    </row>
    <row r="57" spans="1:29">
      <c r="A57" s="65"/>
      <c r="B57" s="29"/>
      <c r="C57" s="178"/>
      <c r="D57" s="178"/>
      <c r="E57" s="73"/>
      <c r="F57" s="73"/>
      <c r="G57" s="840" t="str">
        <f>IF($E57="","",E57*(VLOOKUP($F57,'Unit Conversions'!$A$12:$C$16,3,FALSE)*INDEX('Emission Factors'!$B$382:$H$442,MATCH(C57,'Emission Factors'!$B$382:$B$442,0),MATCH(D57,'Emission Factors'!$B$382:$H$382,0)))*1000)</f>
        <v/>
      </c>
      <c r="H57" s="162"/>
      <c r="I57" s="162"/>
      <c r="J57" s="162"/>
      <c r="K57" s="162"/>
      <c r="L57" s="162"/>
      <c r="M57" s="162"/>
      <c r="N57" s="162"/>
      <c r="O57" s="162"/>
      <c r="P57" s="162"/>
      <c r="Q57" s="162"/>
      <c r="R57" s="162"/>
      <c r="S57" s="162"/>
      <c r="T57" s="162"/>
      <c r="U57" s="162"/>
      <c r="V57" s="162"/>
      <c r="W57" s="162"/>
      <c r="X57" s="162"/>
      <c r="Y57" s="162"/>
      <c r="Z57" s="162"/>
      <c r="AA57" s="162"/>
      <c r="AB57" s="162"/>
      <c r="AC57" s="162"/>
    </row>
    <row r="58" spans="1:29">
      <c r="A58" s="65"/>
      <c r="B58" s="29"/>
      <c r="C58" s="178"/>
      <c r="D58" s="178"/>
      <c r="E58" s="73"/>
      <c r="F58" s="73"/>
      <c r="G58" s="840" t="str">
        <f>IF($E58="","",E58*(VLOOKUP($F58,'Unit Conversions'!$A$12:$C$16,3,FALSE)*INDEX('Emission Factors'!$B$382:$H$442,MATCH(C58,'Emission Factors'!$B$382:$B$442,0),MATCH(D58,'Emission Factors'!$B$382:$H$382,0)))*1000)</f>
        <v/>
      </c>
      <c r="H58" s="162"/>
      <c r="I58" s="162"/>
      <c r="J58" s="162"/>
      <c r="K58" s="162"/>
      <c r="L58" s="162"/>
      <c r="M58" s="162"/>
      <c r="N58" s="162"/>
      <c r="O58" s="162"/>
      <c r="P58" s="162"/>
      <c r="Q58" s="162"/>
      <c r="R58" s="162"/>
      <c r="S58" s="162"/>
      <c r="T58" s="162"/>
      <c r="U58" s="162"/>
      <c r="V58" s="162"/>
      <c r="W58" s="162"/>
      <c r="X58" s="162"/>
      <c r="Y58" s="162"/>
      <c r="Z58" s="162"/>
      <c r="AA58" s="162"/>
      <c r="AB58" s="162"/>
      <c r="AC58" s="162"/>
    </row>
    <row r="59" spans="1:29">
      <c r="A59" s="65"/>
      <c r="B59" s="29"/>
      <c r="C59" s="178"/>
      <c r="D59" s="178"/>
      <c r="E59" s="73"/>
      <c r="F59" s="73"/>
      <c r="G59" s="840" t="str">
        <f>IF($E59="","",E59*(VLOOKUP($F59,'Unit Conversions'!$A$12:$C$16,3,FALSE)*INDEX('Emission Factors'!$B$382:$H$442,MATCH(C59,'Emission Factors'!$B$382:$B$442,0),MATCH(D59,'Emission Factors'!$B$382:$H$382,0)))*1000)</f>
        <v/>
      </c>
      <c r="H59" s="162"/>
      <c r="I59" s="162"/>
      <c r="J59" s="162"/>
      <c r="K59" s="162"/>
      <c r="L59" s="162"/>
      <c r="M59" s="162"/>
      <c r="N59" s="162"/>
      <c r="O59" s="162"/>
      <c r="P59" s="162"/>
      <c r="Q59" s="162"/>
      <c r="R59" s="162"/>
      <c r="S59" s="162"/>
      <c r="T59" s="162"/>
      <c r="U59" s="162"/>
      <c r="V59" s="162"/>
      <c r="W59" s="162"/>
      <c r="X59" s="162"/>
      <c r="Y59" s="162"/>
      <c r="Z59" s="162"/>
      <c r="AA59" s="162"/>
      <c r="AB59" s="162"/>
      <c r="AC59" s="162"/>
    </row>
    <row r="60" spans="1:29">
      <c r="A60" s="65"/>
      <c r="B60" s="29"/>
      <c r="C60" s="178"/>
      <c r="D60" s="178"/>
      <c r="E60" s="73"/>
      <c r="F60" s="73"/>
      <c r="G60" s="840" t="str">
        <f>IF($E60="","",E60*(VLOOKUP($F60,'Unit Conversions'!$A$12:$C$16,3,FALSE)*INDEX('Emission Factors'!$B$382:$H$442,MATCH(C60,'Emission Factors'!$B$382:$B$442,0),MATCH(D60,'Emission Factors'!$B$382:$H$382,0)))*1000)</f>
        <v/>
      </c>
      <c r="H60" s="162"/>
      <c r="I60" s="162"/>
      <c r="J60" s="162"/>
      <c r="K60" s="162"/>
      <c r="L60" s="162"/>
      <c r="M60" s="162"/>
      <c r="N60" s="162"/>
      <c r="O60" s="162"/>
      <c r="P60" s="162"/>
      <c r="Q60" s="162"/>
      <c r="R60" s="162"/>
      <c r="S60" s="162"/>
      <c r="T60" s="162"/>
      <c r="U60" s="162"/>
      <c r="V60" s="162"/>
      <c r="W60" s="162"/>
      <c r="X60" s="162"/>
      <c r="Y60" s="162"/>
      <c r="Z60" s="162"/>
      <c r="AA60" s="162"/>
      <c r="AB60" s="162"/>
      <c r="AC60" s="162"/>
    </row>
    <row r="61" spans="1:29">
      <c r="A61" s="65"/>
      <c r="B61" s="29"/>
      <c r="C61" s="178"/>
      <c r="D61" s="178"/>
      <c r="E61" s="73"/>
      <c r="F61" s="73"/>
      <c r="G61" s="840" t="str">
        <f>IF($E61="","",E61*(VLOOKUP($F61,'Unit Conversions'!$A$12:$C$16,3,FALSE)*INDEX('Emission Factors'!$B$382:$H$442,MATCH(C61,'Emission Factors'!$B$382:$B$442,0),MATCH(D61,'Emission Factors'!$B$382:$H$382,0)))*1000)</f>
        <v/>
      </c>
      <c r="H61" s="162"/>
      <c r="I61" s="162"/>
      <c r="J61" s="162"/>
      <c r="K61" s="162"/>
      <c r="L61" s="162"/>
      <c r="M61" s="162"/>
      <c r="N61" s="162"/>
      <c r="O61" s="162"/>
      <c r="P61" s="162"/>
      <c r="Q61" s="162"/>
      <c r="R61" s="162"/>
      <c r="S61" s="162"/>
      <c r="T61" s="162"/>
      <c r="U61" s="162"/>
      <c r="V61" s="162"/>
      <c r="W61" s="162"/>
      <c r="X61" s="162"/>
      <c r="Y61" s="162"/>
      <c r="Z61" s="162"/>
      <c r="AA61" s="162"/>
      <c r="AB61" s="162"/>
      <c r="AC61" s="162"/>
    </row>
    <row r="62" spans="1:29">
      <c r="A62" s="65"/>
      <c r="B62" s="29"/>
      <c r="C62" s="178"/>
      <c r="D62" s="178"/>
      <c r="E62" s="73"/>
      <c r="F62" s="73"/>
      <c r="G62" s="840" t="str">
        <f>IF($E62="","",E62*(VLOOKUP($F62,'Unit Conversions'!$A$12:$C$16,3,FALSE)*INDEX('Emission Factors'!$B$382:$H$442,MATCH(C62,'Emission Factors'!$B$382:$B$442,0),MATCH(D62,'Emission Factors'!$B$382:$H$382,0)))*1000)</f>
        <v/>
      </c>
      <c r="H62" s="162"/>
      <c r="I62" s="162"/>
      <c r="J62" s="162"/>
      <c r="K62" s="162"/>
      <c r="L62" s="162"/>
      <c r="M62" s="162"/>
      <c r="N62" s="162"/>
      <c r="O62" s="162"/>
      <c r="P62" s="162"/>
      <c r="Q62" s="162"/>
      <c r="R62" s="162"/>
      <c r="S62" s="162"/>
      <c r="T62" s="162"/>
      <c r="U62" s="162"/>
      <c r="V62" s="162"/>
      <c r="W62" s="162"/>
      <c r="X62" s="162"/>
      <c r="Y62" s="162"/>
      <c r="Z62" s="162"/>
      <c r="AA62" s="162"/>
      <c r="AB62" s="162"/>
      <c r="AC62" s="162"/>
    </row>
    <row r="63" spans="1:29">
      <c r="A63" s="65"/>
      <c r="B63" s="29"/>
      <c r="C63" s="178"/>
      <c r="D63" s="178"/>
      <c r="E63" s="73"/>
      <c r="F63" s="73"/>
      <c r="G63" s="840" t="str">
        <f>IF($E63="","",E63*(VLOOKUP($F63,'Unit Conversions'!$A$12:$C$16,3,FALSE)*INDEX('Emission Factors'!$B$382:$H$442,MATCH(C63,'Emission Factors'!$B$382:$B$442,0),MATCH(D63,'Emission Factors'!$B$382:$H$382,0)))*1000)</f>
        <v/>
      </c>
      <c r="H63" s="162"/>
      <c r="I63" s="162"/>
      <c r="J63" s="162"/>
      <c r="K63" s="162"/>
      <c r="L63" s="162"/>
      <c r="M63" s="162"/>
      <c r="N63" s="162"/>
      <c r="O63" s="162"/>
      <c r="P63" s="162"/>
      <c r="Q63" s="162"/>
      <c r="R63" s="162"/>
      <c r="S63" s="162"/>
      <c r="T63" s="162"/>
      <c r="U63" s="162"/>
      <c r="V63" s="162"/>
      <c r="W63" s="162"/>
      <c r="X63" s="162"/>
      <c r="Y63" s="162"/>
      <c r="Z63" s="162"/>
      <c r="AA63" s="162"/>
      <c r="AB63" s="162"/>
      <c r="AC63" s="162"/>
    </row>
    <row r="64" spans="1:29">
      <c r="A64" s="65"/>
      <c r="B64" s="29"/>
      <c r="C64" s="178"/>
      <c r="D64" s="178"/>
      <c r="E64" s="73"/>
      <c r="F64" s="73"/>
      <c r="G64" s="840" t="str">
        <f>IF($E64="","",E64*(VLOOKUP($F64,'Unit Conversions'!$A$12:$C$16,3,FALSE)*INDEX('Emission Factors'!$B$382:$H$442,MATCH(C64,'Emission Factors'!$B$382:$B$442,0),MATCH(D64,'Emission Factors'!$B$382:$H$382,0)))*1000)</f>
        <v/>
      </c>
      <c r="H64" s="162"/>
      <c r="I64" s="162"/>
      <c r="J64" s="162"/>
      <c r="K64" s="162"/>
      <c r="L64" s="162"/>
      <c r="M64" s="162"/>
      <c r="N64" s="162"/>
      <c r="O64" s="162"/>
      <c r="P64" s="162"/>
      <c r="Q64" s="162"/>
      <c r="R64" s="162"/>
      <c r="S64" s="162"/>
      <c r="T64" s="162"/>
      <c r="U64" s="162"/>
      <c r="V64" s="162"/>
      <c r="W64" s="162"/>
      <c r="X64" s="162"/>
      <c r="Y64" s="162"/>
      <c r="Z64" s="162"/>
      <c r="AA64" s="162"/>
      <c r="AB64" s="162"/>
      <c r="AC64" s="162"/>
    </row>
    <row r="65" spans="1:29">
      <c r="A65" s="65"/>
      <c r="B65" s="29"/>
      <c r="C65" s="178"/>
      <c r="D65" s="178"/>
      <c r="E65" s="73"/>
      <c r="F65" s="73"/>
      <c r="G65" s="840" t="str">
        <f>IF($E65="","",E65*(VLOOKUP($F65,'Unit Conversions'!$A$12:$C$16,3,FALSE)*INDEX('Emission Factors'!$B$382:$H$442,MATCH(C65,'Emission Factors'!$B$382:$B$442,0),MATCH(D65,'Emission Factors'!$B$382:$H$382,0)))*1000)</f>
        <v/>
      </c>
      <c r="H65" s="162"/>
      <c r="I65" s="162"/>
      <c r="J65" s="162"/>
      <c r="K65" s="162"/>
      <c r="L65" s="162"/>
      <c r="M65" s="162"/>
      <c r="N65" s="162"/>
      <c r="O65" s="162"/>
      <c r="P65" s="162"/>
      <c r="Q65" s="162"/>
      <c r="R65" s="162"/>
      <c r="S65" s="162"/>
      <c r="T65" s="162"/>
      <c r="U65" s="162"/>
      <c r="V65" s="162"/>
      <c r="W65" s="162"/>
      <c r="X65" s="162"/>
      <c r="Y65" s="162"/>
      <c r="Z65" s="162"/>
      <c r="AA65" s="162"/>
      <c r="AB65" s="162"/>
      <c r="AC65" s="162"/>
    </row>
    <row r="66" spans="1:29">
      <c r="A66" s="65"/>
      <c r="B66" s="29"/>
      <c r="C66" s="178"/>
      <c r="D66" s="178"/>
      <c r="E66" s="73"/>
      <c r="F66" s="73"/>
      <c r="G66" s="840" t="str">
        <f>IF($E66="","",E66*(VLOOKUP($F66,'Unit Conversions'!$A$12:$C$16,3,FALSE)*INDEX('Emission Factors'!$B$382:$H$442,MATCH(C66,'Emission Factors'!$B$382:$B$442,0),MATCH(D66,'Emission Factors'!$B$382:$H$382,0)))*1000)</f>
        <v/>
      </c>
      <c r="H66" s="162"/>
      <c r="I66" s="162"/>
      <c r="J66" s="162"/>
      <c r="K66" s="162"/>
      <c r="L66" s="162"/>
      <c r="M66" s="162"/>
      <c r="N66" s="162"/>
      <c r="O66" s="162"/>
      <c r="P66" s="162"/>
      <c r="Q66" s="162"/>
      <c r="R66" s="162"/>
      <c r="S66" s="162"/>
      <c r="T66" s="162"/>
      <c r="U66" s="162"/>
      <c r="V66" s="162"/>
      <c r="W66" s="162"/>
      <c r="X66" s="162"/>
      <c r="Y66" s="162"/>
      <c r="Z66" s="162"/>
      <c r="AA66" s="162"/>
      <c r="AB66" s="162"/>
      <c r="AC66" s="162"/>
    </row>
    <row r="67" spans="1:29">
      <c r="A67" s="65"/>
      <c r="B67" s="29"/>
      <c r="C67" s="178"/>
      <c r="D67" s="178"/>
      <c r="E67" s="73"/>
      <c r="F67" s="73"/>
      <c r="G67" s="840" t="str">
        <f>IF($E67="","",E67*(VLOOKUP($F67,'Unit Conversions'!$A$12:$C$16,3,FALSE)*INDEX('Emission Factors'!$B$382:$H$442,MATCH(C67,'Emission Factors'!$B$382:$B$442,0),MATCH(D67,'Emission Factors'!$B$382:$H$382,0)))*1000)</f>
        <v/>
      </c>
      <c r="H67" s="162"/>
      <c r="I67" s="162"/>
      <c r="J67" s="162"/>
      <c r="K67" s="162"/>
      <c r="L67" s="162"/>
      <c r="M67" s="162"/>
      <c r="N67" s="162"/>
      <c r="O67" s="162"/>
      <c r="P67" s="162"/>
      <c r="Q67" s="162"/>
      <c r="R67" s="162"/>
      <c r="S67" s="162"/>
      <c r="T67" s="162"/>
      <c r="U67" s="162"/>
      <c r="V67" s="162"/>
      <c r="W67" s="162"/>
      <c r="X67" s="162"/>
      <c r="Y67" s="162"/>
      <c r="Z67" s="162"/>
      <c r="AA67" s="162"/>
      <c r="AB67" s="162"/>
      <c r="AC67" s="162"/>
    </row>
    <row r="68" spans="1:29">
      <c r="A68" s="65"/>
      <c r="B68" s="29"/>
      <c r="C68" s="178"/>
      <c r="D68" s="178"/>
      <c r="E68" s="73"/>
      <c r="F68" s="73"/>
      <c r="G68" s="840" t="str">
        <f>IF($E68="","",E68*(VLOOKUP($F68,'Unit Conversions'!$A$12:$C$16,3,FALSE)*INDEX('Emission Factors'!$B$382:$H$442,MATCH(C68,'Emission Factors'!$B$382:$B$442,0),MATCH(D68,'Emission Factors'!$B$382:$H$382,0)))*1000)</f>
        <v/>
      </c>
      <c r="H68" s="162"/>
      <c r="I68" s="162"/>
      <c r="J68" s="162"/>
      <c r="K68" s="162"/>
      <c r="L68" s="162"/>
      <c r="M68" s="162"/>
      <c r="N68" s="162"/>
      <c r="O68" s="162"/>
      <c r="P68" s="162"/>
      <c r="Q68" s="162"/>
      <c r="R68" s="162"/>
      <c r="S68" s="162"/>
      <c r="T68" s="162"/>
      <c r="U68" s="162"/>
      <c r="V68" s="162"/>
      <c r="W68" s="162"/>
      <c r="X68" s="162"/>
      <c r="Y68" s="162"/>
      <c r="Z68" s="162"/>
      <c r="AA68" s="162"/>
      <c r="AB68" s="162"/>
      <c r="AC68" s="162"/>
    </row>
    <row r="69" spans="1:29">
      <c r="A69" s="65"/>
      <c r="B69" s="29"/>
      <c r="C69" s="178"/>
      <c r="D69" s="178"/>
      <c r="E69" s="73"/>
      <c r="F69" s="73"/>
      <c r="G69" s="840" t="str">
        <f>IF($E69="","",E69*(VLOOKUP($F69,'Unit Conversions'!$A$12:$C$16,3,FALSE)*INDEX('Emission Factors'!$B$382:$H$442,MATCH(C69,'Emission Factors'!$B$382:$B$442,0),MATCH(D69,'Emission Factors'!$B$382:$H$382,0)))*1000)</f>
        <v/>
      </c>
      <c r="H69" s="162"/>
      <c r="I69" s="162"/>
      <c r="J69" s="162"/>
      <c r="K69" s="162"/>
      <c r="L69" s="162"/>
      <c r="M69" s="162"/>
      <c r="N69" s="162"/>
      <c r="O69" s="162"/>
      <c r="P69" s="162"/>
      <c r="Q69" s="162"/>
      <c r="R69" s="162"/>
      <c r="S69" s="162"/>
      <c r="T69" s="162"/>
      <c r="U69" s="162"/>
      <c r="V69" s="162"/>
      <c r="W69" s="162"/>
      <c r="X69" s="162"/>
      <c r="Y69" s="162"/>
      <c r="Z69" s="162"/>
      <c r="AA69" s="162"/>
      <c r="AB69" s="162"/>
      <c r="AC69" s="162"/>
    </row>
    <row r="70" spans="1:29">
      <c r="A70" s="65"/>
      <c r="B70" s="29"/>
      <c r="C70" s="178"/>
      <c r="D70" s="178"/>
      <c r="E70" s="73"/>
      <c r="F70" s="73"/>
      <c r="G70" s="840" t="str">
        <f>IF($E70="","",E70*(VLOOKUP($F70,'Unit Conversions'!$A$12:$C$16,3,FALSE)*INDEX('Emission Factors'!$B$382:$H$442,MATCH(C70,'Emission Factors'!$B$382:$B$442,0),MATCH(D70,'Emission Factors'!$B$382:$H$382,0)))*1000)</f>
        <v/>
      </c>
      <c r="H70" s="162"/>
      <c r="I70" s="162"/>
      <c r="J70" s="162"/>
      <c r="K70" s="162"/>
      <c r="L70" s="162"/>
      <c r="M70" s="162"/>
      <c r="N70" s="162"/>
      <c r="O70" s="162"/>
      <c r="P70" s="162"/>
      <c r="Q70" s="162"/>
      <c r="R70" s="162"/>
      <c r="S70" s="162"/>
      <c r="T70" s="162"/>
      <c r="U70" s="162"/>
      <c r="V70" s="162"/>
      <c r="W70" s="162"/>
      <c r="X70" s="162"/>
      <c r="Y70" s="162"/>
      <c r="Z70" s="162"/>
      <c r="AA70" s="162"/>
      <c r="AB70" s="162"/>
      <c r="AC70" s="162"/>
    </row>
    <row r="71" spans="1:29">
      <c r="A71" s="65"/>
      <c r="B71" s="29"/>
      <c r="C71" s="178"/>
      <c r="D71" s="178"/>
      <c r="E71" s="73"/>
      <c r="F71" s="73"/>
      <c r="G71" s="840" t="str">
        <f>IF($E71="","",E71*(VLOOKUP($F71,'Unit Conversions'!$A$12:$C$16,3,FALSE)*INDEX('Emission Factors'!$B$382:$H$442,MATCH(C71,'Emission Factors'!$B$382:$B$442,0),MATCH(D71,'Emission Factors'!$B$382:$H$382,0)))*1000)</f>
        <v/>
      </c>
      <c r="H71" s="162"/>
      <c r="I71" s="162"/>
      <c r="J71" s="162"/>
      <c r="K71" s="162"/>
      <c r="L71" s="162"/>
      <c r="M71" s="162"/>
      <c r="N71" s="162"/>
      <c r="O71" s="162"/>
      <c r="P71" s="162"/>
      <c r="Q71" s="162"/>
      <c r="R71" s="162"/>
      <c r="S71" s="162"/>
      <c r="T71" s="162"/>
      <c r="U71" s="162"/>
      <c r="V71" s="162"/>
      <c r="W71" s="162"/>
      <c r="X71" s="162"/>
      <c r="Y71" s="162"/>
      <c r="Z71" s="162"/>
      <c r="AA71" s="162"/>
      <c r="AB71" s="162"/>
      <c r="AC71" s="162"/>
    </row>
    <row r="72" spans="1:29">
      <c r="A72" s="65"/>
      <c r="B72" s="29"/>
      <c r="C72" s="178"/>
      <c r="D72" s="178"/>
      <c r="E72" s="73"/>
      <c r="F72" s="73"/>
      <c r="G72" s="840" t="str">
        <f>IF($E72="","",E72*(VLOOKUP($F72,'Unit Conversions'!$A$12:$C$16,3,FALSE)*INDEX('Emission Factors'!$B$382:$H$442,MATCH(C72,'Emission Factors'!$B$382:$B$442,0),MATCH(D72,'Emission Factors'!$B$382:$H$382,0)))*1000)</f>
        <v/>
      </c>
      <c r="H72" s="162"/>
      <c r="I72" s="162"/>
      <c r="J72" s="162"/>
      <c r="K72" s="162"/>
      <c r="L72" s="162"/>
      <c r="M72" s="162"/>
      <c r="N72" s="162"/>
      <c r="O72" s="162"/>
      <c r="P72" s="162"/>
      <c r="Q72" s="162"/>
      <c r="R72" s="162"/>
      <c r="S72" s="162"/>
      <c r="T72" s="162"/>
      <c r="U72" s="162"/>
      <c r="V72" s="162"/>
      <c r="W72" s="162"/>
      <c r="X72" s="162"/>
      <c r="Y72" s="162"/>
      <c r="Z72" s="162"/>
      <c r="AA72" s="162"/>
      <c r="AB72" s="162"/>
      <c r="AC72" s="162"/>
    </row>
    <row r="73" spans="1:29">
      <c r="A73" s="65"/>
      <c r="B73" s="29"/>
      <c r="C73" s="178"/>
      <c r="D73" s="178"/>
      <c r="E73" s="73"/>
      <c r="F73" s="73"/>
      <c r="G73" s="840" t="str">
        <f>IF($E73="","",E73*(VLOOKUP($F73,'Unit Conversions'!$A$12:$C$16,3,FALSE)*INDEX('Emission Factors'!$B$382:$H$442,MATCH(C73,'Emission Factors'!$B$382:$B$442,0),MATCH(D73,'Emission Factors'!$B$382:$H$382,0)))*1000)</f>
        <v/>
      </c>
      <c r="H73" s="162"/>
      <c r="I73" s="162"/>
      <c r="J73" s="162"/>
      <c r="K73" s="162"/>
      <c r="L73" s="162"/>
      <c r="M73" s="162"/>
      <c r="N73" s="162"/>
      <c r="O73" s="162"/>
      <c r="P73" s="162"/>
      <c r="Q73" s="162"/>
      <c r="R73" s="162"/>
      <c r="S73" s="162"/>
      <c r="T73" s="162"/>
      <c r="U73" s="162"/>
      <c r="V73" s="162"/>
      <c r="W73" s="162"/>
      <c r="X73" s="162"/>
      <c r="Y73" s="162"/>
      <c r="Z73" s="162"/>
      <c r="AA73" s="162"/>
      <c r="AB73" s="162"/>
      <c r="AC73" s="162"/>
    </row>
    <row r="74" spans="1:29">
      <c r="A74" s="65"/>
      <c r="B74" s="29"/>
      <c r="C74" s="178"/>
      <c r="D74" s="178"/>
      <c r="E74" s="73"/>
      <c r="F74" s="73"/>
      <c r="G74" s="840" t="str">
        <f>IF($E74="","",E74*(VLOOKUP($F74,'Unit Conversions'!$A$12:$C$16,3,FALSE)*INDEX('Emission Factors'!$B$382:$H$442,MATCH(C74,'Emission Factors'!$B$382:$B$442,0),MATCH(D74,'Emission Factors'!$B$382:$H$382,0)))*1000)</f>
        <v/>
      </c>
      <c r="H74" s="162"/>
      <c r="I74" s="162"/>
      <c r="J74" s="162"/>
      <c r="K74" s="162"/>
      <c r="L74" s="162"/>
      <c r="M74" s="162"/>
      <c r="N74" s="162"/>
      <c r="O74" s="162"/>
      <c r="P74" s="162"/>
      <c r="Q74" s="162"/>
      <c r="R74" s="162"/>
      <c r="S74" s="162"/>
      <c r="T74" s="162"/>
      <c r="U74" s="162"/>
      <c r="V74" s="162"/>
      <c r="W74" s="162"/>
      <c r="X74" s="162"/>
      <c r="Y74" s="162"/>
      <c r="Z74" s="162"/>
      <c r="AA74" s="162"/>
      <c r="AB74" s="162"/>
      <c r="AC74" s="162"/>
    </row>
    <row r="75" spans="1:29">
      <c r="A75" s="65"/>
      <c r="B75" s="29"/>
      <c r="C75" s="178"/>
      <c r="D75" s="178"/>
      <c r="E75" s="73"/>
      <c r="F75" s="73"/>
      <c r="G75" s="840" t="str">
        <f>IF($E75="","",E75*(VLOOKUP($F75,'Unit Conversions'!$A$12:$C$16,3,FALSE)*INDEX('Emission Factors'!$B$382:$H$442,MATCH(C75,'Emission Factors'!$B$382:$B$442,0),MATCH(D75,'Emission Factors'!$B$382:$H$382,0)))*1000)</f>
        <v/>
      </c>
      <c r="H75" s="162"/>
      <c r="I75" s="162"/>
      <c r="J75" s="162"/>
      <c r="K75" s="162"/>
      <c r="L75" s="162"/>
      <c r="M75" s="162"/>
      <c r="N75" s="162"/>
      <c r="O75" s="162"/>
      <c r="P75" s="162"/>
      <c r="Q75" s="162"/>
      <c r="R75" s="162"/>
      <c r="S75" s="162"/>
      <c r="T75" s="162"/>
      <c r="U75" s="162"/>
      <c r="V75" s="162"/>
      <c r="W75" s="162"/>
      <c r="X75" s="162"/>
      <c r="Y75" s="162"/>
      <c r="Z75" s="162"/>
      <c r="AA75" s="162"/>
      <c r="AB75" s="162"/>
      <c r="AC75" s="162"/>
    </row>
    <row r="76" spans="1:29">
      <c r="A76" s="65"/>
      <c r="B76" s="29"/>
      <c r="C76" s="178"/>
      <c r="D76" s="178"/>
      <c r="E76" s="73"/>
      <c r="F76" s="73"/>
      <c r="G76" s="840" t="str">
        <f>IF($E76="","",E76*(VLOOKUP($F76,'Unit Conversions'!$A$12:$C$16,3,FALSE)*INDEX('Emission Factors'!$B$382:$H$442,MATCH(C76,'Emission Factors'!$B$382:$B$442,0),MATCH(D76,'Emission Factors'!$B$382:$H$382,0)))*1000)</f>
        <v/>
      </c>
      <c r="H76" s="162"/>
      <c r="I76" s="162"/>
      <c r="J76" s="162"/>
      <c r="K76" s="162"/>
      <c r="L76" s="162"/>
      <c r="M76" s="162"/>
      <c r="N76" s="162"/>
      <c r="O76" s="162"/>
      <c r="P76" s="162"/>
      <c r="Q76" s="162"/>
      <c r="R76" s="162"/>
      <c r="S76" s="162"/>
      <c r="T76" s="162"/>
      <c r="U76" s="162"/>
      <c r="V76" s="162"/>
      <c r="W76" s="162"/>
      <c r="X76" s="162"/>
      <c r="Y76" s="162"/>
      <c r="Z76" s="162"/>
      <c r="AA76" s="162"/>
      <c r="AB76" s="162"/>
      <c r="AC76" s="162"/>
    </row>
    <row r="77" spans="1:29">
      <c r="A77" s="65"/>
      <c r="B77" s="29"/>
      <c r="C77" s="178"/>
      <c r="D77" s="178"/>
      <c r="E77" s="73"/>
      <c r="F77" s="73"/>
      <c r="G77" s="840" t="str">
        <f>IF($E77="","",E77*(VLOOKUP($F77,'Unit Conversions'!$A$12:$C$16,3,FALSE)*INDEX('Emission Factors'!$B$382:$H$442,MATCH(C77,'Emission Factors'!$B$382:$B$442,0),MATCH(D77,'Emission Factors'!$B$382:$H$382,0)))*1000)</f>
        <v/>
      </c>
      <c r="H77" s="162"/>
      <c r="I77" s="162"/>
      <c r="J77" s="162"/>
      <c r="K77" s="162"/>
      <c r="L77" s="345"/>
      <c r="M77" s="346"/>
      <c r="N77" s="162"/>
      <c r="O77" s="162"/>
      <c r="P77" s="162"/>
      <c r="Q77" s="162"/>
      <c r="R77" s="162"/>
      <c r="S77" s="162"/>
      <c r="T77" s="162"/>
      <c r="U77" s="162"/>
      <c r="V77" s="162"/>
      <c r="W77" s="162"/>
      <c r="X77" s="162"/>
      <c r="Y77" s="162"/>
      <c r="Z77" s="162"/>
      <c r="AA77" s="162"/>
      <c r="AB77" s="162"/>
      <c r="AC77" s="162"/>
    </row>
    <row r="78" spans="1:29">
      <c r="A78" s="65"/>
      <c r="B78" s="29"/>
      <c r="C78" s="178"/>
      <c r="D78" s="178"/>
      <c r="E78" s="73"/>
      <c r="F78" s="73"/>
      <c r="G78" s="840" t="str">
        <f>IF($E78="","",E78*(VLOOKUP($F78,'Unit Conversions'!$A$12:$C$16,3,FALSE)*INDEX('Emission Factors'!$B$382:$H$442,MATCH(C78,'Emission Factors'!$B$382:$B$442,0),MATCH(D78,'Emission Factors'!$B$382:$H$382,0)))*1000)</f>
        <v/>
      </c>
      <c r="H78" s="162"/>
      <c r="I78" s="162"/>
      <c r="J78" s="162"/>
      <c r="K78" s="162"/>
      <c r="L78" s="163"/>
      <c r="M78" s="163"/>
      <c r="N78" s="162"/>
      <c r="O78" s="162"/>
      <c r="P78" s="162"/>
      <c r="Q78" s="162"/>
      <c r="R78" s="162"/>
      <c r="S78" s="162"/>
      <c r="T78" s="162"/>
      <c r="U78" s="162"/>
      <c r="V78" s="162"/>
      <c r="W78" s="162"/>
      <c r="X78" s="162"/>
      <c r="Y78" s="162"/>
      <c r="Z78" s="162"/>
      <c r="AA78" s="162"/>
      <c r="AB78" s="162"/>
      <c r="AC78" s="162"/>
    </row>
    <row r="79" spans="1:29">
      <c r="A79" s="65"/>
      <c r="B79" s="29"/>
      <c r="C79" s="178"/>
      <c r="D79" s="178"/>
      <c r="E79" s="73"/>
      <c r="F79" s="73"/>
      <c r="G79" s="840" t="str">
        <f>IF($E79="","",E79*(VLOOKUP($F79,'Unit Conversions'!$A$12:$C$16,3,FALSE)*INDEX('Emission Factors'!$B$382:$H$442,MATCH(C79,'Emission Factors'!$B$382:$B$442,0),MATCH(D79,'Emission Factors'!$B$382:$H$382,0)))*1000)</f>
        <v/>
      </c>
      <c r="H79" s="162"/>
      <c r="I79" s="162"/>
      <c r="J79" s="162"/>
      <c r="K79" s="162"/>
      <c r="L79" s="163"/>
      <c r="M79" s="163"/>
      <c r="N79" s="162"/>
      <c r="O79" s="162"/>
      <c r="P79" s="162"/>
      <c r="Q79" s="162"/>
      <c r="R79" s="162"/>
      <c r="S79" s="162"/>
      <c r="T79" s="162"/>
      <c r="U79" s="162"/>
      <c r="V79" s="162"/>
      <c r="W79" s="162"/>
      <c r="X79" s="162"/>
      <c r="Y79" s="162"/>
      <c r="Z79" s="162"/>
      <c r="AA79" s="162"/>
      <c r="AB79" s="162"/>
      <c r="AC79" s="162"/>
    </row>
    <row r="80" spans="1:29">
      <c r="A80" s="65"/>
      <c r="B80" s="29"/>
      <c r="C80" s="178"/>
      <c r="D80" s="178"/>
      <c r="E80" s="73"/>
      <c r="F80" s="73"/>
      <c r="G80" s="840" t="str">
        <f>IF($E80="","",E80*(VLOOKUP($F80,'Unit Conversions'!$A$12:$C$16,3,FALSE)*INDEX('Emission Factors'!$B$382:$H$442,MATCH(C80,'Emission Factors'!$B$382:$B$442,0),MATCH(D80,'Emission Factors'!$B$382:$H$382,0)))*1000)</f>
        <v/>
      </c>
      <c r="H80" s="162"/>
      <c r="I80" s="162"/>
      <c r="J80" s="162"/>
      <c r="K80" s="162"/>
      <c r="L80" s="162"/>
      <c r="M80" s="162"/>
      <c r="N80" s="162"/>
      <c r="O80" s="162"/>
      <c r="P80" s="162"/>
      <c r="Q80" s="162"/>
      <c r="R80" s="162"/>
      <c r="S80" s="162"/>
      <c r="T80" s="162"/>
      <c r="U80" s="162"/>
      <c r="V80" s="162"/>
      <c r="W80" s="162"/>
      <c r="X80" s="162"/>
      <c r="Y80" s="162"/>
      <c r="Z80" s="162"/>
      <c r="AA80" s="162"/>
      <c r="AB80" s="162"/>
      <c r="AC80" s="162"/>
    </row>
    <row r="81" spans="1:29">
      <c r="A81" s="65"/>
      <c r="B81" s="29"/>
      <c r="C81" s="178"/>
      <c r="D81" s="178"/>
      <c r="E81" s="73"/>
      <c r="F81" s="73"/>
      <c r="G81" s="840" t="str">
        <f>IF($E81="","",E81*(VLOOKUP($F81,'Unit Conversions'!$A$12:$C$16,3,FALSE)*INDEX('Emission Factors'!$B$382:$H$442,MATCH(C81,'Emission Factors'!$B$382:$B$442,0),MATCH(D81,'Emission Factors'!$B$382:$H$382,0)))*1000)</f>
        <v/>
      </c>
      <c r="H81" s="162"/>
      <c r="I81" s="162"/>
      <c r="J81" s="162"/>
      <c r="K81" s="162"/>
      <c r="L81" s="163"/>
      <c r="M81" s="163"/>
      <c r="N81" s="162"/>
      <c r="O81" s="162"/>
      <c r="P81" s="162"/>
      <c r="Q81" s="162"/>
      <c r="R81" s="162"/>
      <c r="S81" s="162"/>
      <c r="T81" s="162"/>
      <c r="U81" s="162"/>
      <c r="V81" s="162"/>
      <c r="W81" s="162"/>
      <c r="X81" s="162"/>
      <c r="Y81" s="162"/>
      <c r="Z81" s="162"/>
      <c r="AA81" s="162"/>
      <c r="AB81" s="162"/>
      <c r="AC81" s="162"/>
    </row>
    <row r="82" spans="1:29">
      <c r="A82" s="65"/>
      <c r="B82" s="29"/>
      <c r="C82" s="178"/>
      <c r="D82" s="178"/>
      <c r="E82" s="73"/>
      <c r="F82" s="73"/>
      <c r="G82" s="840" t="str">
        <f>IF($E82="","",E82*(VLOOKUP($F82,'Unit Conversions'!$A$12:$C$16,3,FALSE)*INDEX('Emission Factors'!$B$382:$H$442,MATCH(C82,'Emission Factors'!$B$382:$B$442,0),MATCH(D82,'Emission Factors'!$B$382:$H$382,0)))*1000)</f>
        <v/>
      </c>
      <c r="H82" s="162"/>
      <c r="I82" s="162"/>
      <c r="J82" s="162"/>
      <c r="K82" s="162"/>
      <c r="L82" s="163"/>
      <c r="M82" s="163"/>
      <c r="N82" s="162"/>
      <c r="O82" s="162"/>
      <c r="P82" s="162"/>
      <c r="Q82" s="162"/>
      <c r="R82" s="162"/>
      <c r="S82" s="162"/>
      <c r="T82" s="162"/>
      <c r="U82" s="162"/>
      <c r="V82" s="162"/>
      <c r="W82" s="162"/>
      <c r="X82" s="162"/>
      <c r="Y82" s="162"/>
      <c r="Z82" s="162"/>
      <c r="AA82" s="162"/>
      <c r="AB82" s="162"/>
      <c r="AC82" s="162"/>
    </row>
    <row r="83" spans="1:29">
      <c r="A83" s="65"/>
      <c r="B83" s="29"/>
      <c r="C83" s="178"/>
      <c r="D83" s="178"/>
      <c r="E83" s="73"/>
      <c r="F83" s="73"/>
      <c r="G83" s="840" t="str">
        <f>IF($E83="","",E83*(VLOOKUP($F83,'Unit Conversions'!$A$12:$C$16,3,FALSE)*INDEX('Emission Factors'!$B$382:$H$442,MATCH(C83,'Emission Factors'!$B$382:$B$442,0),MATCH(D83,'Emission Factors'!$B$382:$H$382,0)))*1000)</f>
        <v/>
      </c>
      <c r="H83" s="162"/>
      <c r="I83" s="162"/>
      <c r="J83" s="162"/>
      <c r="K83" s="162"/>
      <c r="L83" s="163"/>
      <c r="M83" s="163"/>
      <c r="N83" s="162"/>
      <c r="O83" s="162"/>
      <c r="P83" s="162"/>
      <c r="Q83" s="162"/>
      <c r="R83" s="162"/>
      <c r="S83" s="162"/>
      <c r="T83" s="162"/>
      <c r="U83" s="162"/>
      <c r="V83" s="162"/>
      <c r="W83" s="162"/>
      <c r="X83" s="162"/>
      <c r="Y83" s="162"/>
      <c r="Z83" s="162"/>
      <c r="AA83" s="162"/>
      <c r="AB83" s="162"/>
      <c r="AC83" s="162"/>
    </row>
    <row r="84" spans="1:29" ht="13.5" thickBot="1">
      <c r="A84" s="66"/>
      <c r="B84" s="67"/>
      <c r="C84" s="181"/>
      <c r="D84" s="181"/>
      <c r="E84" s="74"/>
      <c r="F84" s="74"/>
      <c r="G84" s="841" t="str">
        <f>IF($E84="","",E84*(VLOOKUP($F84,'Unit Conversions'!$A$12:$C$16,3,FALSE)*INDEX('Emission Factors'!$B$382:$H$442,MATCH(C84,'Emission Factors'!$B$382:$B$442,0),MATCH(D84,'Emission Factors'!$B$382:$H$382,0)))*1000)</f>
        <v/>
      </c>
      <c r="H84" s="162"/>
      <c r="I84" s="162"/>
      <c r="J84" s="162"/>
      <c r="K84" s="162"/>
      <c r="L84" s="163"/>
      <c r="M84" s="163"/>
      <c r="N84" s="162"/>
      <c r="O84" s="162"/>
      <c r="P84" s="162"/>
      <c r="Q84" s="162"/>
      <c r="R84" s="162"/>
      <c r="S84" s="162"/>
      <c r="T84" s="162"/>
      <c r="U84" s="162"/>
      <c r="V84" s="162"/>
      <c r="W84" s="162"/>
      <c r="X84" s="162"/>
      <c r="Y84" s="162"/>
      <c r="Z84" s="162"/>
      <c r="AA84" s="162"/>
      <c r="AB84" s="162"/>
      <c r="AC84" s="162"/>
    </row>
    <row r="85" spans="1:29">
      <c r="A85" s="4"/>
      <c r="B85" s="4"/>
      <c r="C85" s="4"/>
      <c r="D85" s="4"/>
      <c r="E85" s="63"/>
      <c r="F85" s="63"/>
      <c r="G85" s="162"/>
      <c r="H85" s="162"/>
      <c r="I85" s="162"/>
      <c r="J85" s="162"/>
      <c r="K85" s="162"/>
      <c r="L85" s="163"/>
      <c r="M85" s="163"/>
      <c r="N85" s="162"/>
      <c r="O85" s="162"/>
      <c r="P85" s="162"/>
      <c r="Q85" s="162"/>
      <c r="R85" s="162"/>
      <c r="S85" s="162"/>
      <c r="T85" s="162"/>
      <c r="U85" s="162"/>
      <c r="V85" s="162"/>
      <c r="W85" s="162"/>
      <c r="X85" s="162"/>
      <c r="Y85" s="162"/>
      <c r="Z85" s="162"/>
      <c r="AA85" s="162"/>
      <c r="AB85" s="162"/>
      <c r="AC85" s="162"/>
    </row>
    <row r="86" spans="1:29">
      <c r="A86" s="4"/>
      <c r="B86" s="4"/>
      <c r="C86" s="4"/>
      <c r="D86" s="4"/>
      <c r="E86" s="4"/>
      <c r="F86" s="4"/>
      <c r="G86" s="162"/>
      <c r="H86" s="162"/>
      <c r="I86" s="162"/>
      <c r="J86" s="162"/>
      <c r="K86" s="162"/>
      <c r="L86" s="163"/>
      <c r="M86" s="163"/>
      <c r="N86" s="162"/>
      <c r="O86" s="162"/>
      <c r="P86" s="162"/>
      <c r="Q86" s="162"/>
      <c r="R86" s="162"/>
      <c r="S86" s="162"/>
      <c r="T86" s="162"/>
      <c r="U86" s="162"/>
      <c r="V86" s="162"/>
      <c r="W86" s="162"/>
      <c r="X86" s="162"/>
      <c r="Y86" s="162"/>
      <c r="Z86" s="162"/>
      <c r="AA86" s="162"/>
      <c r="AB86" s="162"/>
      <c r="AC86" s="162"/>
    </row>
    <row r="87" spans="1:29">
      <c r="A87" s="254" t="s">
        <v>316</v>
      </c>
      <c r="B87" s="223"/>
      <c r="C87" s="223"/>
      <c r="D87" s="223"/>
      <c r="E87" s="224"/>
      <c r="F87" s="224"/>
      <c r="G87" s="162"/>
      <c r="H87" s="162"/>
      <c r="I87" s="162"/>
      <c r="J87" s="162"/>
      <c r="K87" s="162"/>
      <c r="L87" s="163"/>
      <c r="M87" s="163"/>
      <c r="N87" s="162"/>
      <c r="O87" s="162"/>
      <c r="P87" s="162"/>
      <c r="Q87" s="162"/>
      <c r="R87" s="162"/>
      <c r="S87" s="162"/>
      <c r="T87" s="162"/>
      <c r="U87" s="162"/>
      <c r="V87" s="162"/>
      <c r="W87" s="162"/>
      <c r="X87" s="162"/>
      <c r="Y87" s="162"/>
      <c r="Z87" s="162"/>
      <c r="AA87" s="162"/>
      <c r="AB87" s="162"/>
      <c r="AC87" s="162"/>
    </row>
    <row r="88" spans="1:29">
      <c r="A88" s="161"/>
      <c r="B88" s="162"/>
      <c r="C88" s="162"/>
      <c r="D88" s="162"/>
      <c r="E88" s="226"/>
      <c r="F88" s="226"/>
      <c r="G88" s="162"/>
      <c r="H88" s="162"/>
      <c r="I88" s="162"/>
      <c r="J88" s="162"/>
      <c r="K88" s="162"/>
      <c r="L88" s="163"/>
      <c r="M88" s="163"/>
      <c r="N88" s="162"/>
      <c r="O88" s="162"/>
      <c r="P88" s="162"/>
      <c r="Q88" s="162"/>
      <c r="R88" s="162"/>
      <c r="S88" s="162"/>
      <c r="T88" s="162"/>
      <c r="U88" s="162"/>
      <c r="V88" s="162"/>
      <c r="W88" s="162"/>
      <c r="X88" s="162"/>
      <c r="Y88" s="162"/>
      <c r="Z88" s="162"/>
      <c r="AA88" s="162"/>
      <c r="AB88" s="162"/>
      <c r="AC88" s="162"/>
    </row>
    <row r="89" spans="1:29" ht="13.5" thickBot="1">
      <c r="A89" s="7" t="s">
        <v>1124</v>
      </c>
      <c r="B89" s="4"/>
      <c r="C89" s="4"/>
      <c r="D89" s="4"/>
      <c r="E89" s="4"/>
      <c r="F89" s="4"/>
      <c r="G89" s="162"/>
      <c r="H89" s="162"/>
      <c r="I89" s="162"/>
      <c r="J89" s="162"/>
      <c r="K89" s="162"/>
      <c r="L89" s="163"/>
      <c r="M89" s="163"/>
      <c r="N89" s="162"/>
      <c r="O89" s="162"/>
      <c r="P89" s="162"/>
      <c r="Q89" s="162"/>
      <c r="R89" s="162"/>
      <c r="S89" s="162"/>
      <c r="T89" s="162"/>
      <c r="U89" s="162"/>
      <c r="V89" s="162"/>
      <c r="W89" s="162"/>
      <c r="X89" s="162"/>
      <c r="Y89" s="162"/>
      <c r="Z89" s="162"/>
      <c r="AA89" s="162"/>
      <c r="AB89" s="162"/>
      <c r="AC89" s="162"/>
    </row>
    <row r="90" spans="1:29" ht="15" thickBot="1">
      <c r="A90" s="696" t="s">
        <v>1046</v>
      </c>
      <c r="B90" s="190" t="s">
        <v>1048</v>
      </c>
      <c r="C90" s="162"/>
      <c r="D90" s="4"/>
      <c r="E90" s="4"/>
      <c r="F90" s="4"/>
      <c r="G90" s="162"/>
      <c r="H90" s="162"/>
      <c r="I90" s="162"/>
      <c r="J90" s="162"/>
      <c r="K90" s="162"/>
      <c r="L90" s="163"/>
      <c r="M90" s="163"/>
      <c r="N90" s="162"/>
      <c r="O90" s="162"/>
      <c r="P90" s="162"/>
      <c r="Q90" s="162"/>
      <c r="R90" s="162"/>
      <c r="S90" s="162"/>
      <c r="T90" s="162"/>
      <c r="U90" s="162"/>
      <c r="V90" s="162"/>
      <c r="W90" s="162"/>
      <c r="X90" s="162"/>
      <c r="Y90" s="162"/>
      <c r="Z90" s="162"/>
      <c r="AA90" s="162"/>
      <c r="AB90" s="162"/>
      <c r="AC90" s="162"/>
    </row>
    <row r="91" spans="1:29">
      <c r="A91" s="697" t="s">
        <v>1111</v>
      </c>
      <c r="B91" s="830">
        <f t="shared" ref="B91:B96" si="0">SUMIF($D$13:$D$84,$A91,G$13:G$84)</f>
        <v>0</v>
      </c>
      <c r="C91" s="162"/>
      <c r="D91" s="4"/>
      <c r="E91" s="4"/>
      <c r="F91" s="4"/>
      <c r="G91" s="162"/>
      <c r="H91" s="162"/>
      <c r="I91" s="162"/>
      <c r="J91" s="162"/>
      <c r="K91" s="162"/>
      <c r="L91" s="163"/>
      <c r="M91" s="163"/>
      <c r="N91" s="162"/>
      <c r="O91" s="162"/>
      <c r="P91" s="162"/>
      <c r="Q91" s="162"/>
      <c r="R91" s="162"/>
      <c r="S91" s="162"/>
      <c r="T91" s="162"/>
      <c r="U91" s="162"/>
      <c r="V91" s="162"/>
      <c r="W91" s="162"/>
      <c r="X91" s="162"/>
      <c r="Y91" s="162"/>
      <c r="Z91" s="162"/>
      <c r="AA91" s="162"/>
      <c r="AB91" s="162"/>
      <c r="AC91" s="162"/>
    </row>
    <row r="92" spans="1:29">
      <c r="A92" s="199" t="s">
        <v>1112</v>
      </c>
      <c r="B92" s="737">
        <f t="shared" si="0"/>
        <v>0</v>
      </c>
      <c r="C92" s="162"/>
      <c r="D92" s="4"/>
      <c r="E92" s="4"/>
      <c r="F92" s="4"/>
      <c r="G92" s="162"/>
      <c r="H92" s="162"/>
      <c r="I92" s="162"/>
      <c r="J92" s="162"/>
      <c r="K92" s="162"/>
      <c r="L92" s="163"/>
      <c r="M92" s="163"/>
      <c r="N92" s="162"/>
      <c r="O92" s="162"/>
      <c r="P92" s="162"/>
      <c r="Q92" s="162"/>
      <c r="R92" s="162"/>
      <c r="S92" s="162"/>
      <c r="T92" s="162"/>
      <c r="U92" s="162"/>
      <c r="V92" s="162"/>
      <c r="W92" s="162"/>
      <c r="X92" s="162"/>
      <c r="Y92" s="162"/>
      <c r="Z92" s="162"/>
      <c r="AA92" s="162"/>
      <c r="AB92" s="162"/>
      <c r="AC92" s="162"/>
    </row>
    <row r="93" spans="1:29">
      <c r="A93" s="627" t="s">
        <v>158</v>
      </c>
      <c r="B93" s="737">
        <f t="shared" si="0"/>
        <v>0</v>
      </c>
      <c r="C93" s="162"/>
      <c r="D93" s="4"/>
      <c r="E93" s="4"/>
      <c r="F93" s="4"/>
      <c r="G93" s="162"/>
      <c r="H93" s="162"/>
      <c r="I93" s="162"/>
      <c r="J93" s="162"/>
      <c r="K93" s="162"/>
      <c r="L93" s="163"/>
      <c r="M93" s="163"/>
      <c r="N93" s="162"/>
      <c r="O93" s="162"/>
      <c r="P93" s="162"/>
      <c r="Q93" s="162"/>
      <c r="R93" s="162"/>
      <c r="S93" s="162"/>
      <c r="T93" s="162"/>
      <c r="U93" s="162"/>
      <c r="V93" s="162"/>
      <c r="W93" s="162"/>
      <c r="X93" s="162"/>
      <c r="Y93" s="162"/>
      <c r="Z93" s="162"/>
      <c r="AA93" s="162"/>
      <c r="AB93" s="162"/>
      <c r="AC93" s="162"/>
    </row>
    <row r="94" spans="1:29">
      <c r="A94" s="627" t="s">
        <v>1113</v>
      </c>
      <c r="B94" s="737">
        <f t="shared" si="0"/>
        <v>0</v>
      </c>
      <c r="C94" s="162"/>
      <c r="D94" s="4"/>
      <c r="E94" s="4"/>
      <c r="F94" s="4"/>
      <c r="G94" s="162"/>
      <c r="H94" s="162"/>
      <c r="I94" s="162"/>
      <c r="J94" s="162"/>
      <c r="K94" s="162"/>
      <c r="L94" s="163"/>
      <c r="M94" s="163"/>
      <c r="N94" s="162"/>
      <c r="O94" s="162"/>
      <c r="P94" s="162"/>
      <c r="Q94" s="162"/>
      <c r="R94" s="162"/>
      <c r="S94" s="162"/>
      <c r="T94" s="162"/>
      <c r="U94" s="162"/>
      <c r="V94" s="162"/>
      <c r="W94" s="162"/>
      <c r="X94" s="162"/>
      <c r="Y94" s="162"/>
      <c r="Z94" s="162"/>
      <c r="AA94" s="162"/>
      <c r="AB94" s="162"/>
      <c r="AC94" s="162"/>
    </row>
    <row r="95" spans="1:29">
      <c r="A95" s="627" t="s">
        <v>1109</v>
      </c>
      <c r="B95" s="737">
        <f t="shared" si="0"/>
        <v>0</v>
      </c>
      <c r="C95" s="162"/>
      <c r="D95" s="4"/>
      <c r="E95" s="4"/>
      <c r="F95" s="4"/>
      <c r="G95" s="162"/>
      <c r="H95" s="162"/>
      <c r="I95" s="162"/>
      <c r="J95" s="162"/>
      <c r="K95" s="162"/>
      <c r="L95" s="163"/>
      <c r="M95" s="163"/>
      <c r="N95" s="162"/>
      <c r="O95" s="162"/>
      <c r="P95" s="162"/>
      <c r="Q95" s="162"/>
      <c r="R95" s="162"/>
      <c r="S95" s="162"/>
      <c r="T95" s="162"/>
      <c r="U95" s="162"/>
      <c r="V95" s="162"/>
      <c r="W95" s="162"/>
      <c r="X95" s="162"/>
      <c r="Y95" s="162"/>
      <c r="Z95" s="162"/>
      <c r="AA95" s="162"/>
      <c r="AB95" s="162"/>
      <c r="AC95" s="162"/>
    </row>
    <row r="96" spans="1:29" ht="13.5" thickBot="1">
      <c r="A96" s="702" t="s">
        <v>1110</v>
      </c>
      <c r="B96" s="738">
        <f t="shared" si="0"/>
        <v>0</v>
      </c>
      <c r="C96" s="162"/>
      <c r="D96" s="4"/>
      <c r="E96" s="4"/>
      <c r="F96" s="4"/>
      <c r="G96" s="162"/>
      <c r="H96" s="162"/>
      <c r="I96" s="162"/>
      <c r="J96" s="162"/>
      <c r="K96" s="162"/>
      <c r="L96" s="163"/>
      <c r="M96" s="163"/>
      <c r="N96" s="162"/>
      <c r="O96" s="162"/>
      <c r="P96" s="162"/>
      <c r="Q96" s="162"/>
      <c r="R96" s="162"/>
      <c r="S96" s="162"/>
      <c r="T96" s="162"/>
      <c r="U96" s="162"/>
      <c r="V96" s="162"/>
      <c r="W96" s="162"/>
      <c r="X96" s="162"/>
      <c r="Y96" s="162"/>
      <c r="Z96" s="162"/>
      <c r="AA96" s="162"/>
      <c r="AB96" s="162"/>
      <c r="AC96" s="162"/>
    </row>
    <row r="97" spans="1:29" ht="13.5" thickBot="1">
      <c r="A97" s="162"/>
      <c r="B97" s="162"/>
      <c r="C97" s="162"/>
      <c r="D97" s="4"/>
      <c r="E97" s="4"/>
      <c r="F97" s="4"/>
      <c r="G97" s="162"/>
      <c r="H97" s="162"/>
      <c r="I97" s="162"/>
      <c r="J97" s="162"/>
      <c r="K97" s="162"/>
      <c r="L97" s="163"/>
      <c r="M97" s="163"/>
      <c r="N97" s="162"/>
      <c r="O97" s="162"/>
      <c r="P97" s="162"/>
      <c r="Q97" s="162"/>
      <c r="R97" s="162"/>
      <c r="S97" s="162"/>
      <c r="T97" s="162"/>
      <c r="U97" s="162"/>
      <c r="V97" s="162"/>
      <c r="W97" s="162"/>
      <c r="X97" s="162"/>
      <c r="Y97" s="162"/>
      <c r="Z97" s="162"/>
      <c r="AA97" s="162"/>
      <c r="AB97" s="162"/>
      <c r="AC97" s="162"/>
    </row>
    <row r="98" spans="1:29">
      <c r="A98" s="240"/>
      <c r="B98" s="414"/>
      <c r="C98" s="414"/>
      <c r="D98" s="415"/>
      <c r="E98" s="162"/>
      <c r="F98" s="162"/>
      <c r="G98" s="162"/>
      <c r="H98" s="162"/>
      <c r="I98" s="162"/>
      <c r="J98" s="162"/>
      <c r="K98" s="162"/>
      <c r="L98" s="163"/>
      <c r="M98" s="163"/>
      <c r="N98" s="162"/>
      <c r="O98" s="162"/>
      <c r="P98" s="162"/>
      <c r="Q98" s="162"/>
      <c r="R98" s="162"/>
      <c r="S98" s="162"/>
      <c r="T98" s="162"/>
      <c r="U98" s="162"/>
      <c r="V98" s="162"/>
      <c r="W98" s="162"/>
      <c r="X98" s="162"/>
      <c r="Y98" s="162"/>
      <c r="Z98" s="162"/>
      <c r="AA98" s="162"/>
      <c r="AB98" s="162"/>
      <c r="AC98" s="162"/>
    </row>
    <row r="99" spans="1:29" ht="15" thickBot="1">
      <c r="A99" s="241" t="s">
        <v>1117</v>
      </c>
      <c r="B99" s="416"/>
      <c r="C99" s="416"/>
      <c r="D99" s="239">
        <f>SUM(B91:B96)/1000</f>
        <v>0</v>
      </c>
      <c r="E99" s="162"/>
      <c r="F99" s="162"/>
      <c r="G99" s="162"/>
      <c r="H99" s="162"/>
      <c r="I99" s="226"/>
      <c r="J99" s="226"/>
      <c r="K99" s="162"/>
      <c r="L99" s="163"/>
      <c r="M99" s="163"/>
      <c r="N99" s="162"/>
      <c r="O99" s="162"/>
      <c r="P99" s="162"/>
      <c r="Q99" s="162"/>
      <c r="R99" s="162"/>
      <c r="S99" s="162"/>
      <c r="T99" s="162"/>
      <c r="U99" s="162"/>
      <c r="V99" s="162"/>
      <c r="W99" s="162"/>
      <c r="X99" s="162"/>
      <c r="Y99" s="162"/>
      <c r="Z99" s="162"/>
      <c r="AA99" s="162"/>
      <c r="AB99" s="162"/>
      <c r="AC99" s="162"/>
    </row>
    <row r="100" spans="1:29">
      <c r="A100" s="162"/>
      <c r="B100" s="162"/>
      <c r="C100" s="162"/>
      <c r="D100" s="162"/>
      <c r="E100" s="162"/>
      <c r="F100" s="162"/>
      <c r="G100" s="162"/>
      <c r="H100" s="162"/>
      <c r="I100" s="227"/>
      <c r="J100" s="162"/>
      <c r="K100" s="162"/>
      <c r="L100" s="163"/>
      <c r="M100" s="163"/>
      <c r="N100" s="162"/>
      <c r="O100" s="162"/>
      <c r="P100" s="162"/>
      <c r="Q100" s="162"/>
      <c r="R100" s="162"/>
      <c r="S100" s="162"/>
      <c r="T100" s="162"/>
      <c r="U100" s="162"/>
      <c r="V100" s="162"/>
      <c r="W100" s="162"/>
      <c r="X100" s="162"/>
      <c r="Y100" s="162"/>
      <c r="Z100" s="162"/>
      <c r="AA100" s="162"/>
      <c r="AB100" s="162"/>
      <c r="AC100" s="162"/>
    </row>
    <row r="101" spans="1:29">
      <c r="A101" s="162"/>
      <c r="B101" s="162"/>
      <c r="C101" s="162"/>
      <c r="D101" s="162"/>
      <c r="E101" s="162"/>
      <c r="F101" s="162"/>
      <c r="G101" s="162"/>
      <c r="H101" s="162"/>
      <c r="I101" s="162"/>
      <c r="J101" s="162"/>
      <c r="K101" s="162"/>
      <c r="L101" s="163"/>
      <c r="M101" s="163"/>
      <c r="N101" s="162"/>
      <c r="O101" s="162"/>
      <c r="P101" s="162"/>
      <c r="Q101" s="162"/>
      <c r="R101" s="162"/>
      <c r="S101" s="162"/>
      <c r="T101" s="162"/>
      <c r="U101" s="162"/>
      <c r="V101" s="162"/>
      <c r="W101" s="162"/>
      <c r="X101" s="162"/>
      <c r="Y101" s="162"/>
      <c r="Z101" s="162"/>
      <c r="AA101" s="162"/>
      <c r="AB101" s="162"/>
      <c r="AC101" s="162"/>
    </row>
    <row r="102" spans="1:29">
      <c r="A102" s="162"/>
      <c r="B102" s="162"/>
      <c r="C102" s="162"/>
      <c r="D102" s="162"/>
      <c r="E102" s="162"/>
      <c r="F102" s="162"/>
      <c r="G102" s="162"/>
      <c r="H102" s="162"/>
      <c r="I102" s="162"/>
      <c r="J102" s="162"/>
      <c r="K102" s="162"/>
      <c r="L102" s="163"/>
      <c r="M102" s="163"/>
      <c r="N102" s="162"/>
      <c r="O102" s="162"/>
      <c r="P102" s="162"/>
      <c r="Q102" s="162"/>
      <c r="R102" s="162"/>
      <c r="S102" s="162"/>
      <c r="T102" s="162"/>
      <c r="U102" s="162"/>
      <c r="V102" s="162"/>
      <c r="W102" s="162"/>
      <c r="X102" s="162"/>
      <c r="Y102" s="162"/>
      <c r="Z102" s="162"/>
      <c r="AA102" s="162"/>
      <c r="AB102" s="162"/>
      <c r="AC102" s="162"/>
    </row>
    <row r="103" spans="1:29">
      <c r="A103" s="162"/>
      <c r="B103" s="162"/>
      <c r="C103" s="162"/>
      <c r="D103" s="162"/>
      <c r="E103" s="162"/>
      <c r="F103" s="162"/>
      <c r="G103" s="162"/>
      <c r="H103" s="162"/>
      <c r="I103" s="162"/>
      <c r="J103" s="162"/>
      <c r="K103" s="162"/>
      <c r="L103" s="163"/>
      <c r="M103" s="163"/>
      <c r="N103" s="162"/>
      <c r="O103" s="162"/>
      <c r="P103" s="162"/>
      <c r="Q103" s="162"/>
      <c r="R103" s="162"/>
      <c r="S103" s="162"/>
      <c r="T103" s="162"/>
      <c r="U103" s="162"/>
      <c r="V103" s="162"/>
      <c r="W103" s="162"/>
      <c r="X103" s="162"/>
      <c r="Y103" s="162"/>
      <c r="Z103" s="162"/>
      <c r="AA103" s="162"/>
      <c r="AB103" s="162"/>
      <c r="AC103" s="162"/>
    </row>
    <row r="104" spans="1:29">
      <c r="A104" s="162"/>
      <c r="B104" s="162"/>
      <c r="C104" s="162"/>
      <c r="D104" s="162"/>
      <c r="E104" s="162"/>
      <c r="F104" s="162"/>
      <c r="G104" s="162"/>
      <c r="H104" s="162"/>
      <c r="I104" s="162"/>
      <c r="J104" s="162"/>
      <c r="K104" s="162"/>
      <c r="L104" s="163"/>
      <c r="M104" s="163"/>
      <c r="N104" s="162"/>
      <c r="O104" s="162"/>
      <c r="P104" s="162"/>
      <c r="Q104" s="162"/>
      <c r="R104" s="162"/>
      <c r="S104" s="162"/>
      <c r="T104" s="162"/>
      <c r="U104" s="162"/>
      <c r="V104" s="162"/>
      <c r="W104" s="162"/>
      <c r="X104" s="162"/>
      <c r="Y104" s="162"/>
      <c r="Z104" s="162"/>
      <c r="AA104" s="162"/>
      <c r="AB104" s="162"/>
      <c r="AC104" s="162"/>
    </row>
    <row r="105" spans="1:29">
      <c r="A105" s="162"/>
      <c r="B105" s="162"/>
      <c r="C105" s="162"/>
      <c r="D105" s="162"/>
      <c r="E105" s="162"/>
      <c r="F105" s="162"/>
      <c r="G105" s="162"/>
      <c r="H105" s="162"/>
      <c r="I105" s="162"/>
      <c r="J105" s="162"/>
      <c r="K105" s="162"/>
      <c r="L105" s="163"/>
      <c r="M105" s="163"/>
      <c r="N105" s="162"/>
      <c r="O105" s="162"/>
      <c r="P105" s="162"/>
      <c r="Q105" s="162"/>
      <c r="R105" s="162"/>
      <c r="S105" s="162"/>
      <c r="T105" s="162"/>
      <c r="U105" s="162"/>
      <c r="V105" s="162"/>
      <c r="W105" s="162"/>
      <c r="X105" s="162"/>
      <c r="Y105" s="162"/>
      <c r="Z105" s="162"/>
      <c r="AA105" s="162"/>
      <c r="AB105" s="162"/>
      <c r="AC105" s="162"/>
    </row>
    <row r="106" spans="1:29">
      <c r="A106" s="162"/>
      <c r="B106" s="162"/>
      <c r="C106" s="162"/>
      <c r="D106" s="162"/>
      <c r="E106" s="162"/>
      <c r="F106" s="162"/>
      <c r="G106" s="162"/>
      <c r="H106" s="162"/>
      <c r="I106" s="162"/>
      <c r="J106" s="162"/>
      <c r="K106" s="162"/>
      <c r="L106" s="163"/>
      <c r="M106" s="163"/>
      <c r="N106" s="162"/>
      <c r="O106" s="162"/>
      <c r="P106" s="162"/>
      <c r="Q106" s="162"/>
      <c r="R106" s="162"/>
      <c r="S106" s="162"/>
      <c r="T106" s="162"/>
      <c r="U106" s="162"/>
      <c r="V106" s="162"/>
      <c r="W106" s="162"/>
      <c r="X106" s="162"/>
      <c r="Y106" s="162"/>
      <c r="Z106" s="162"/>
      <c r="AA106" s="162"/>
      <c r="AB106" s="162"/>
      <c r="AC106" s="162"/>
    </row>
    <row r="107" spans="1:29">
      <c r="A107" s="162"/>
      <c r="B107" s="162"/>
      <c r="C107" s="162"/>
      <c r="D107" s="162"/>
      <c r="E107" s="162"/>
      <c r="F107" s="162"/>
      <c r="G107" s="162"/>
      <c r="H107" s="162"/>
      <c r="I107" s="162"/>
      <c r="J107" s="162"/>
      <c r="K107" s="162"/>
      <c r="L107" s="163"/>
      <c r="M107" s="163"/>
      <c r="N107" s="162"/>
      <c r="O107" s="162"/>
      <c r="P107" s="162"/>
      <c r="Q107" s="162"/>
      <c r="R107" s="162"/>
      <c r="S107" s="162"/>
      <c r="T107" s="162"/>
      <c r="U107" s="162"/>
      <c r="V107" s="162"/>
      <c r="W107" s="162"/>
      <c r="X107" s="162"/>
      <c r="Y107" s="162"/>
      <c r="Z107" s="162"/>
      <c r="AA107" s="162"/>
      <c r="AB107" s="162"/>
      <c r="AC107" s="162"/>
    </row>
    <row r="108" spans="1:29">
      <c r="A108" s="162"/>
      <c r="B108" s="162"/>
      <c r="C108" s="162"/>
      <c r="D108" s="162"/>
      <c r="E108" s="162"/>
      <c r="F108" s="162"/>
      <c r="G108" s="162"/>
      <c r="H108" s="162"/>
      <c r="I108" s="162"/>
      <c r="J108" s="162"/>
      <c r="K108" s="162"/>
      <c r="L108" s="163"/>
      <c r="M108" s="163"/>
      <c r="N108" s="162"/>
      <c r="O108" s="162"/>
      <c r="P108" s="162"/>
      <c r="Q108" s="162"/>
      <c r="R108" s="162"/>
      <c r="S108" s="162"/>
      <c r="T108" s="162"/>
      <c r="U108" s="162"/>
      <c r="V108" s="162"/>
      <c r="W108" s="162"/>
      <c r="X108" s="162"/>
      <c r="Y108" s="162"/>
      <c r="Z108" s="162"/>
      <c r="AA108" s="162"/>
      <c r="AB108" s="162"/>
      <c r="AC108" s="162"/>
    </row>
    <row r="109" spans="1:29">
      <c r="A109" s="162"/>
      <c r="B109" s="162"/>
      <c r="C109" s="162"/>
      <c r="D109" s="162"/>
      <c r="E109" s="162"/>
      <c r="F109" s="162"/>
      <c r="G109" s="162"/>
      <c r="H109" s="162"/>
      <c r="I109" s="162"/>
      <c r="J109" s="162"/>
      <c r="K109" s="162"/>
      <c r="L109" s="163"/>
      <c r="M109" s="163"/>
      <c r="N109" s="162"/>
      <c r="O109" s="162"/>
      <c r="P109" s="162"/>
      <c r="Q109" s="162"/>
      <c r="R109" s="162"/>
      <c r="S109" s="162"/>
      <c r="T109" s="162"/>
      <c r="U109" s="162"/>
      <c r="V109" s="162"/>
      <c r="W109" s="162"/>
      <c r="X109" s="162"/>
      <c r="Y109" s="162"/>
      <c r="Z109" s="162"/>
      <c r="AA109" s="162"/>
      <c r="AB109" s="162"/>
      <c r="AC109" s="162"/>
    </row>
    <row r="110" spans="1:29">
      <c r="A110" s="162"/>
      <c r="B110" s="162"/>
      <c r="C110" s="162"/>
      <c r="D110" s="162"/>
      <c r="E110" s="162"/>
      <c r="F110" s="162"/>
      <c r="G110" s="162"/>
      <c r="H110" s="162"/>
      <c r="I110" s="162"/>
      <c r="J110" s="162"/>
      <c r="K110" s="162"/>
      <c r="L110" s="163"/>
      <c r="M110" s="163"/>
      <c r="N110" s="162"/>
      <c r="O110" s="162"/>
      <c r="P110" s="162"/>
      <c r="Q110" s="162"/>
      <c r="R110" s="162"/>
      <c r="S110" s="162"/>
      <c r="T110" s="162"/>
      <c r="U110" s="162"/>
      <c r="V110" s="162"/>
      <c r="W110" s="162"/>
      <c r="X110" s="162"/>
      <c r="Y110" s="162"/>
      <c r="Z110" s="162"/>
      <c r="AA110" s="162"/>
      <c r="AB110" s="162"/>
      <c r="AC110" s="162"/>
    </row>
    <row r="111" spans="1:29">
      <c r="A111" s="162"/>
      <c r="B111" s="162"/>
      <c r="C111" s="162"/>
      <c r="D111" s="162"/>
      <c r="E111" s="162"/>
      <c r="F111" s="162"/>
      <c r="G111" s="162"/>
      <c r="H111" s="162"/>
      <c r="I111" s="162"/>
      <c r="J111" s="162"/>
      <c r="K111" s="162"/>
      <c r="L111" s="163"/>
      <c r="M111" s="163"/>
      <c r="N111" s="162"/>
      <c r="O111" s="162"/>
      <c r="P111" s="162"/>
      <c r="Q111" s="162"/>
      <c r="R111" s="162"/>
      <c r="S111" s="162"/>
      <c r="T111" s="162"/>
      <c r="U111" s="162"/>
      <c r="V111" s="162"/>
      <c r="W111" s="162"/>
      <c r="X111" s="162"/>
      <c r="Y111" s="162"/>
      <c r="Z111" s="162"/>
      <c r="AA111" s="162"/>
      <c r="AB111" s="162"/>
      <c r="AC111" s="162"/>
    </row>
    <row r="112" spans="1:29">
      <c r="A112" s="162"/>
      <c r="B112" s="162"/>
      <c r="C112" s="162"/>
      <c r="D112" s="162"/>
      <c r="E112" s="162"/>
      <c r="F112" s="162"/>
      <c r="G112" s="162"/>
      <c r="H112" s="162"/>
      <c r="I112" s="162"/>
      <c r="J112" s="162"/>
      <c r="K112" s="162"/>
      <c r="L112" s="163"/>
      <c r="M112" s="163"/>
      <c r="N112" s="162"/>
      <c r="O112" s="162"/>
      <c r="P112" s="162"/>
      <c r="Q112" s="162"/>
      <c r="R112" s="162"/>
      <c r="S112" s="162"/>
      <c r="T112" s="162"/>
      <c r="U112" s="162"/>
      <c r="V112" s="162"/>
      <c r="W112" s="162"/>
      <c r="X112" s="162"/>
      <c r="Y112" s="162"/>
      <c r="Z112" s="162"/>
      <c r="AA112" s="162"/>
      <c r="AB112" s="162"/>
      <c r="AC112" s="162"/>
    </row>
    <row r="113" spans="1:29">
      <c r="A113" s="162"/>
      <c r="B113" s="162"/>
      <c r="C113" s="162"/>
      <c r="D113" s="162"/>
      <c r="E113" s="162"/>
      <c r="F113" s="162"/>
      <c r="G113" s="162"/>
      <c r="H113" s="162"/>
      <c r="I113" s="162"/>
      <c r="J113" s="162"/>
      <c r="K113" s="162"/>
      <c r="L113" s="163"/>
      <c r="M113" s="163"/>
      <c r="N113" s="162"/>
      <c r="O113" s="162"/>
      <c r="P113" s="162"/>
      <c r="Q113" s="162"/>
      <c r="R113" s="162"/>
      <c r="S113" s="162"/>
      <c r="T113" s="162"/>
      <c r="U113" s="162"/>
      <c r="V113" s="162"/>
      <c r="W113" s="162"/>
      <c r="X113" s="162"/>
      <c r="Y113" s="162"/>
      <c r="Z113" s="162"/>
      <c r="AA113" s="162"/>
      <c r="AB113" s="162"/>
      <c r="AC113" s="162"/>
    </row>
    <row r="114" spans="1:29">
      <c r="A114" s="162"/>
      <c r="B114" s="162"/>
      <c r="C114" s="162"/>
      <c r="D114" s="162"/>
      <c r="E114" s="162"/>
      <c r="F114" s="162"/>
      <c r="G114" s="162"/>
      <c r="H114" s="162"/>
      <c r="I114" s="162"/>
      <c r="J114" s="162"/>
      <c r="K114" s="162"/>
      <c r="L114" s="163"/>
      <c r="M114" s="163"/>
      <c r="N114" s="162"/>
      <c r="O114" s="162"/>
      <c r="P114" s="162"/>
      <c r="Q114" s="162"/>
      <c r="R114" s="162"/>
      <c r="S114" s="162"/>
      <c r="T114" s="162"/>
      <c r="U114" s="162"/>
      <c r="V114" s="162"/>
      <c r="W114" s="162"/>
      <c r="X114" s="162"/>
      <c r="Y114" s="162"/>
      <c r="Z114" s="162"/>
      <c r="AA114" s="162"/>
      <c r="AB114" s="162"/>
      <c r="AC114" s="162"/>
    </row>
    <row r="115" spans="1:29">
      <c r="A115" s="162"/>
      <c r="B115" s="162"/>
      <c r="C115" s="162"/>
      <c r="D115" s="162"/>
      <c r="E115" s="162"/>
      <c r="F115" s="162"/>
      <c r="G115" s="162"/>
      <c r="H115" s="162"/>
      <c r="I115" s="162"/>
      <c r="J115" s="162"/>
      <c r="K115" s="162"/>
      <c r="L115" s="163"/>
      <c r="M115" s="163"/>
      <c r="N115" s="162"/>
      <c r="O115" s="162"/>
      <c r="P115" s="162"/>
      <c r="Q115" s="162"/>
      <c r="R115" s="162"/>
      <c r="S115" s="162"/>
      <c r="T115" s="162"/>
      <c r="U115" s="162"/>
      <c r="V115" s="162"/>
      <c r="W115" s="162"/>
      <c r="X115" s="162"/>
      <c r="Y115" s="162"/>
      <c r="Z115" s="162"/>
      <c r="AA115" s="162"/>
      <c r="AB115" s="162"/>
      <c r="AC115" s="162"/>
    </row>
    <row r="116" spans="1:29">
      <c r="A116" s="162"/>
      <c r="B116" s="162"/>
      <c r="C116" s="162"/>
      <c r="D116" s="162"/>
      <c r="E116" s="162"/>
      <c r="F116" s="162"/>
      <c r="G116" s="162"/>
      <c r="H116" s="162"/>
      <c r="I116" s="162"/>
      <c r="J116" s="162"/>
      <c r="K116" s="162"/>
      <c r="L116" s="163"/>
      <c r="M116" s="163"/>
      <c r="N116" s="162"/>
      <c r="O116" s="162"/>
      <c r="P116" s="162"/>
      <c r="Q116" s="162"/>
      <c r="R116" s="162"/>
      <c r="S116" s="162"/>
      <c r="T116" s="162"/>
      <c r="U116" s="162"/>
      <c r="V116" s="162"/>
      <c r="W116" s="162"/>
      <c r="X116" s="162"/>
      <c r="Y116" s="162"/>
      <c r="Z116" s="162"/>
      <c r="AA116" s="162"/>
      <c r="AB116" s="162"/>
      <c r="AC116" s="162"/>
    </row>
    <row r="117" spans="1:29">
      <c r="A117" s="162"/>
      <c r="B117" s="162"/>
      <c r="C117" s="162"/>
      <c r="D117" s="162"/>
      <c r="E117" s="162"/>
      <c r="F117" s="162"/>
      <c r="G117" s="162"/>
      <c r="H117" s="162"/>
      <c r="I117" s="162"/>
      <c r="J117" s="162"/>
      <c r="K117" s="162"/>
      <c r="L117" s="163"/>
      <c r="M117" s="163"/>
      <c r="N117" s="162"/>
      <c r="O117" s="162"/>
      <c r="P117" s="162"/>
      <c r="Q117" s="162"/>
      <c r="R117" s="162"/>
      <c r="S117" s="162"/>
      <c r="T117" s="162"/>
      <c r="U117" s="162"/>
      <c r="V117" s="162"/>
      <c r="W117" s="162"/>
      <c r="X117" s="162"/>
      <c r="Y117" s="162"/>
      <c r="Z117" s="162"/>
      <c r="AA117" s="162"/>
      <c r="AB117" s="162"/>
      <c r="AC117" s="162"/>
    </row>
    <row r="118" spans="1:29">
      <c r="A118" s="162"/>
      <c r="B118" s="162"/>
      <c r="C118" s="162"/>
      <c r="D118" s="162"/>
      <c r="E118" s="162"/>
      <c r="F118" s="162"/>
      <c r="G118" s="162"/>
      <c r="H118" s="162"/>
      <c r="I118" s="162"/>
      <c r="J118" s="162"/>
      <c r="K118" s="162"/>
      <c r="L118" s="163"/>
      <c r="M118" s="163"/>
      <c r="N118" s="162"/>
      <c r="O118" s="162"/>
      <c r="P118" s="162"/>
      <c r="Q118" s="162"/>
      <c r="R118" s="162"/>
      <c r="S118" s="162"/>
      <c r="T118" s="162"/>
      <c r="U118" s="162"/>
      <c r="V118" s="162"/>
      <c r="W118" s="162"/>
      <c r="X118" s="162"/>
      <c r="Y118" s="162"/>
      <c r="Z118" s="162"/>
      <c r="AA118" s="162"/>
      <c r="AB118" s="162"/>
      <c r="AC118" s="162"/>
    </row>
    <row r="119" spans="1:29">
      <c r="A119" s="162"/>
      <c r="B119" s="162"/>
      <c r="C119" s="162"/>
      <c r="D119" s="162"/>
      <c r="E119" s="162"/>
      <c r="F119" s="162"/>
      <c r="G119" s="162"/>
      <c r="H119" s="162"/>
      <c r="I119" s="162"/>
      <c r="J119" s="162"/>
      <c r="K119" s="162"/>
      <c r="L119" s="163"/>
      <c r="M119" s="163"/>
      <c r="N119" s="162"/>
      <c r="O119" s="162"/>
      <c r="P119" s="162"/>
      <c r="Q119" s="162"/>
      <c r="R119" s="162"/>
      <c r="S119" s="162"/>
      <c r="T119" s="162"/>
      <c r="U119" s="162"/>
      <c r="V119" s="162"/>
      <c r="W119" s="162"/>
      <c r="X119" s="162"/>
      <c r="Y119" s="162"/>
      <c r="Z119" s="162"/>
      <c r="AA119" s="162"/>
      <c r="AB119" s="162"/>
      <c r="AC119" s="162"/>
    </row>
    <row r="120" spans="1:29">
      <c r="A120" s="162"/>
      <c r="B120" s="162"/>
      <c r="C120" s="162"/>
      <c r="D120" s="162"/>
      <c r="E120" s="162"/>
      <c r="F120" s="162"/>
      <c r="G120" s="162"/>
      <c r="H120" s="162"/>
      <c r="I120" s="162"/>
      <c r="J120" s="162"/>
      <c r="K120" s="162"/>
      <c r="L120" s="163"/>
      <c r="M120" s="163"/>
      <c r="N120" s="162"/>
      <c r="O120" s="162"/>
      <c r="P120" s="162"/>
      <c r="Q120" s="162"/>
      <c r="R120" s="162"/>
      <c r="S120" s="162"/>
      <c r="T120" s="162"/>
      <c r="U120" s="162"/>
      <c r="V120" s="162"/>
      <c r="W120" s="162"/>
      <c r="X120" s="162"/>
      <c r="Y120" s="162"/>
      <c r="Z120" s="162"/>
      <c r="AA120" s="162"/>
      <c r="AB120" s="162"/>
      <c r="AC120" s="162"/>
    </row>
    <row r="121" spans="1:29">
      <c r="A121" s="162"/>
      <c r="B121" s="162"/>
      <c r="C121" s="162"/>
      <c r="D121" s="162"/>
      <c r="E121" s="162"/>
      <c r="F121" s="162"/>
      <c r="G121" s="162"/>
      <c r="H121" s="162"/>
      <c r="I121" s="162"/>
      <c r="J121" s="162"/>
      <c r="K121" s="162"/>
      <c r="L121" s="163"/>
      <c r="M121" s="163"/>
      <c r="N121" s="162"/>
      <c r="O121" s="162"/>
      <c r="P121" s="162"/>
      <c r="Q121" s="162"/>
      <c r="R121" s="162"/>
      <c r="S121" s="162"/>
      <c r="T121" s="162"/>
      <c r="U121" s="162"/>
      <c r="V121" s="162"/>
      <c r="W121" s="162"/>
      <c r="X121" s="162"/>
      <c r="Y121" s="162"/>
      <c r="Z121" s="162"/>
      <c r="AA121" s="162"/>
      <c r="AB121" s="162"/>
      <c r="AC121" s="162"/>
    </row>
    <row r="122" spans="1:29">
      <c r="A122" s="162"/>
      <c r="B122" s="162"/>
      <c r="C122" s="162"/>
      <c r="D122" s="162"/>
      <c r="E122" s="162"/>
      <c r="F122" s="162"/>
      <c r="G122" s="162"/>
      <c r="H122" s="162"/>
      <c r="I122" s="162"/>
      <c r="J122" s="162"/>
      <c r="K122" s="162"/>
      <c r="L122" s="163"/>
      <c r="M122" s="163"/>
      <c r="N122" s="162"/>
      <c r="O122" s="162"/>
      <c r="P122" s="162"/>
      <c r="Q122" s="162"/>
      <c r="R122" s="162"/>
      <c r="S122" s="162"/>
      <c r="T122" s="162"/>
      <c r="U122" s="162"/>
      <c r="V122" s="162"/>
      <c r="W122" s="162"/>
      <c r="X122" s="162"/>
      <c r="Y122" s="162"/>
      <c r="Z122" s="162"/>
      <c r="AA122" s="162"/>
      <c r="AB122" s="162"/>
      <c r="AC122" s="162"/>
    </row>
    <row r="123" spans="1:29">
      <c r="A123" s="162"/>
      <c r="B123" s="162"/>
      <c r="C123" s="162"/>
      <c r="D123" s="162"/>
      <c r="E123" s="162"/>
      <c r="F123" s="162"/>
      <c r="G123" s="162"/>
      <c r="H123" s="162"/>
      <c r="I123" s="162"/>
      <c r="J123" s="162"/>
      <c r="K123" s="162"/>
      <c r="L123" s="163"/>
      <c r="M123" s="163"/>
      <c r="N123" s="162"/>
      <c r="O123" s="162"/>
      <c r="P123" s="162"/>
      <c r="Q123" s="162"/>
      <c r="R123" s="162"/>
      <c r="S123" s="162"/>
      <c r="T123" s="162"/>
      <c r="U123" s="162"/>
      <c r="V123" s="162"/>
      <c r="W123" s="162"/>
      <c r="X123" s="162"/>
      <c r="Y123" s="162"/>
      <c r="Z123" s="162"/>
      <c r="AA123" s="162"/>
      <c r="AB123" s="162"/>
      <c r="AC123" s="162"/>
    </row>
    <row r="124" spans="1:29">
      <c r="A124" s="162"/>
      <c r="B124" s="162"/>
      <c r="C124" s="162"/>
      <c r="D124" s="162"/>
      <c r="E124" s="162"/>
      <c r="F124" s="162"/>
      <c r="G124" s="162"/>
      <c r="H124" s="162"/>
      <c r="I124" s="162"/>
      <c r="J124" s="162"/>
      <c r="K124" s="162"/>
      <c r="L124" s="163"/>
      <c r="M124" s="163"/>
      <c r="N124" s="162"/>
      <c r="O124" s="162"/>
      <c r="P124" s="162"/>
      <c r="Q124" s="162"/>
      <c r="R124" s="162"/>
      <c r="S124" s="162"/>
      <c r="T124" s="162"/>
      <c r="U124" s="162"/>
      <c r="V124" s="162"/>
      <c r="W124" s="162"/>
      <c r="X124" s="162"/>
      <c r="Y124" s="162"/>
      <c r="Z124" s="162"/>
      <c r="AA124" s="162"/>
      <c r="AB124" s="162"/>
      <c r="AC124" s="162"/>
    </row>
    <row r="125" spans="1:29">
      <c r="A125" s="162"/>
      <c r="B125" s="162"/>
      <c r="C125" s="162"/>
      <c r="D125" s="162"/>
      <c r="E125" s="162"/>
      <c r="F125" s="162"/>
      <c r="G125" s="162"/>
      <c r="H125" s="162"/>
      <c r="I125" s="162"/>
      <c r="J125" s="162"/>
      <c r="K125" s="162"/>
      <c r="L125" s="163"/>
      <c r="M125" s="163"/>
      <c r="N125" s="162"/>
      <c r="O125" s="162"/>
      <c r="P125" s="162"/>
      <c r="Q125" s="162"/>
      <c r="R125" s="162"/>
      <c r="S125" s="162"/>
      <c r="T125" s="162"/>
      <c r="U125" s="162"/>
      <c r="V125" s="162"/>
      <c r="W125" s="162"/>
      <c r="X125" s="162"/>
      <c r="Y125" s="162"/>
      <c r="Z125" s="162"/>
      <c r="AA125" s="162"/>
      <c r="AB125" s="162"/>
      <c r="AC125" s="162"/>
    </row>
    <row r="126" spans="1:29">
      <c r="A126" s="162"/>
      <c r="B126" s="162"/>
      <c r="C126" s="162"/>
      <c r="D126" s="162"/>
      <c r="E126" s="162"/>
      <c r="F126" s="162"/>
      <c r="G126" s="162"/>
      <c r="H126" s="162"/>
      <c r="I126" s="162"/>
      <c r="J126" s="162"/>
      <c r="K126" s="162"/>
      <c r="L126" s="163"/>
      <c r="M126" s="163"/>
      <c r="N126" s="162"/>
      <c r="O126" s="162"/>
      <c r="P126" s="162"/>
      <c r="Q126" s="162"/>
      <c r="R126" s="162"/>
      <c r="S126" s="162"/>
      <c r="T126" s="162"/>
      <c r="U126" s="162"/>
      <c r="V126" s="162"/>
      <c r="W126" s="162"/>
      <c r="X126" s="162"/>
      <c r="Y126" s="162"/>
      <c r="Z126" s="162"/>
      <c r="AA126" s="162"/>
      <c r="AB126" s="162"/>
      <c r="AC126" s="162"/>
    </row>
    <row r="127" spans="1:29">
      <c r="A127" s="162"/>
      <c r="B127" s="162"/>
      <c r="C127" s="162"/>
      <c r="D127" s="162"/>
      <c r="E127" s="162"/>
      <c r="F127" s="162"/>
      <c r="G127" s="162"/>
      <c r="H127" s="162"/>
      <c r="I127" s="162"/>
      <c r="J127" s="162"/>
      <c r="K127" s="162"/>
      <c r="L127" s="163"/>
      <c r="M127" s="163"/>
      <c r="N127" s="162"/>
      <c r="O127" s="162"/>
      <c r="P127" s="162"/>
      <c r="Q127" s="162"/>
      <c r="R127" s="162"/>
      <c r="S127" s="162"/>
      <c r="T127" s="162"/>
      <c r="U127" s="162"/>
      <c r="V127" s="162"/>
      <c r="W127" s="162"/>
      <c r="X127" s="162"/>
      <c r="Y127" s="162"/>
      <c r="Z127" s="162"/>
      <c r="AA127" s="162"/>
      <c r="AB127" s="162"/>
      <c r="AC127" s="162"/>
    </row>
    <row r="128" spans="1:29">
      <c r="A128" s="162"/>
      <c r="B128" s="162"/>
      <c r="C128" s="162"/>
      <c r="D128" s="162"/>
      <c r="E128" s="162"/>
      <c r="F128" s="162"/>
      <c r="G128" s="162"/>
      <c r="H128" s="162"/>
      <c r="I128" s="162"/>
      <c r="J128" s="162"/>
      <c r="K128" s="162"/>
      <c r="L128" s="163"/>
      <c r="M128" s="163"/>
      <c r="N128" s="162"/>
      <c r="O128" s="162"/>
      <c r="P128" s="162"/>
      <c r="Q128" s="162"/>
      <c r="R128" s="162"/>
      <c r="S128" s="162"/>
      <c r="T128" s="162"/>
      <c r="U128" s="162"/>
      <c r="V128" s="162"/>
      <c r="W128" s="162"/>
      <c r="X128" s="162"/>
      <c r="Y128" s="162"/>
      <c r="Z128" s="162"/>
      <c r="AA128" s="162"/>
      <c r="AB128" s="162"/>
      <c r="AC128" s="162"/>
    </row>
    <row r="129" spans="1:29">
      <c r="A129" s="162"/>
      <c r="B129" s="162"/>
      <c r="C129" s="162"/>
      <c r="D129" s="162"/>
      <c r="E129" s="162"/>
      <c r="F129" s="162"/>
      <c r="G129" s="162"/>
      <c r="H129" s="162"/>
      <c r="I129" s="162"/>
      <c r="J129" s="162"/>
      <c r="K129" s="162"/>
      <c r="L129" s="163"/>
      <c r="M129" s="163"/>
      <c r="N129" s="162"/>
      <c r="O129" s="162"/>
      <c r="P129" s="162"/>
      <c r="Q129" s="162"/>
      <c r="R129" s="162"/>
      <c r="S129" s="162"/>
      <c r="T129" s="162"/>
      <c r="U129" s="162"/>
      <c r="V129" s="162"/>
      <c r="W129" s="162"/>
      <c r="X129" s="162"/>
      <c r="Y129" s="162"/>
      <c r="Z129" s="162"/>
      <c r="AA129" s="162"/>
      <c r="AB129" s="162"/>
      <c r="AC129" s="162"/>
    </row>
    <row r="130" spans="1:29">
      <c r="A130" s="162"/>
      <c r="B130" s="162"/>
      <c r="C130" s="162"/>
      <c r="D130" s="162"/>
      <c r="E130" s="162"/>
      <c r="F130" s="162"/>
      <c r="G130" s="162"/>
      <c r="H130" s="162"/>
      <c r="I130" s="162"/>
      <c r="J130" s="162"/>
      <c r="K130" s="162"/>
      <c r="L130" s="163"/>
      <c r="M130" s="163"/>
      <c r="N130" s="162"/>
      <c r="O130" s="162"/>
      <c r="P130" s="162"/>
      <c r="Q130" s="162"/>
      <c r="R130" s="162"/>
      <c r="S130" s="162"/>
      <c r="T130" s="162"/>
      <c r="U130" s="162"/>
      <c r="V130" s="162"/>
      <c r="W130" s="162"/>
      <c r="X130" s="162"/>
      <c r="Y130" s="162"/>
      <c r="Z130" s="162"/>
      <c r="AA130" s="162"/>
      <c r="AB130" s="162"/>
      <c r="AC130" s="162"/>
    </row>
    <row r="131" spans="1:29">
      <c r="A131" s="162"/>
      <c r="B131" s="162"/>
      <c r="C131" s="162"/>
      <c r="D131" s="162"/>
      <c r="E131" s="162"/>
      <c r="F131" s="162"/>
      <c r="G131" s="162"/>
      <c r="H131" s="162"/>
      <c r="I131" s="162"/>
      <c r="J131" s="162"/>
      <c r="K131" s="162"/>
      <c r="L131" s="163"/>
      <c r="M131" s="163"/>
      <c r="N131" s="162"/>
      <c r="O131" s="162"/>
      <c r="P131" s="162"/>
      <c r="Q131" s="162"/>
      <c r="R131" s="162"/>
      <c r="S131" s="162"/>
      <c r="T131" s="162"/>
      <c r="U131" s="162"/>
      <c r="V131" s="162"/>
      <c r="W131" s="162"/>
      <c r="X131" s="162"/>
      <c r="Y131" s="162"/>
      <c r="Z131" s="162"/>
      <c r="AA131" s="162"/>
      <c r="AB131" s="162"/>
      <c r="AC131" s="162"/>
    </row>
    <row r="132" spans="1:29">
      <c r="A132" s="162"/>
      <c r="B132" s="162"/>
      <c r="C132" s="162"/>
      <c r="D132" s="162"/>
      <c r="E132" s="162"/>
      <c r="F132" s="162"/>
      <c r="G132" s="162"/>
      <c r="H132" s="162"/>
      <c r="I132" s="162"/>
      <c r="J132" s="162"/>
      <c r="K132" s="162"/>
      <c r="L132" s="163"/>
      <c r="M132" s="163"/>
      <c r="N132" s="162"/>
      <c r="O132" s="162"/>
      <c r="P132" s="162"/>
      <c r="Q132" s="162"/>
      <c r="R132" s="162"/>
      <c r="S132" s="162"/>
      <c r="T132" s="162"/>
      <c r="U132" s="162"/>
      <c r="V132" s="162"/>
      <c r="W132" s="162"/>
      <c r="X132" s="162"/>
      <c r="Y132" s="162"/>
      <c r="Z132" s="162"/>
      <c r="AA132" s="162"/>
      <c r="AB132" s="162"/>
      <c r="AC132" s="162"/>
    </row>
    <row r="133" spans="1:29">
      <c r="A133" s="162"/>
      <c r="B133" s="162"/>
      <c r="C133" s="162"/>
      <c r="D133" s="162"/>
      <c r="E133" s="162"/>
      <c r="F133" s="162"/>
      <c r="G133" s="162"/>
      <c r="H133" s="162"/>
      <c r="I133" s="162"/>
      <c r="J133" s="162"/>
      <c r="K133" s="162"/>
      <c r="L133" s="163"/>
      <c r="M133" s="163"/>
      <c r="N133" s="162"/>
      <c r="O133" s="162"/>
      <c r="P133" s="162"/>
      <c r="Q133" s="162"/>
      <c r="R133" s="162"/>
      <c r="S133" s="162"/>
      <c r="T133" s="162"/>
      <c r="U133" s="162"/>
      <c r="V133" s="162"/>
      <c r="W133" s="162"/>
      <c r="X133" s="162"/>
      <c r="Y133" s="162"/>
      <c r="Z133" s="162"/>
      <c r="AA133" s="162"/>
      <c r="AB133" s="162"/>
      <c r="AC133" s="162"/>
    </row>
    <row r="134" spans="1:29">
      <c r="A134" s="162"/>
      <c r="B134" s="162"/>
      <c r="C134" s="162"/>
      <c r="D134" s="162"/>
      <c r="E134" s="162"/>
      <c r="F134" s="162"/>
      <c r="G134" s="162"/>
      <c r="H134" s="162"/>
      <c r="I134" s="162"/>
      <c r="J134" s="162"/>
      <c r="K134" s="162"/>
      <c r="L134" s="163"/>
      <c r="M134" s="163"/>
      <c r="N134" s="162"/>
      <c r="O134" s="162"/>
      <c r="P134" s="162"/>
      <c r="Q134" s="162"/>
      <c r="R134" s="162"/>
      <c r="S134" s="162"/>
      <c r="T134" s="162"/>
      <c r="U134" s="162"/>
      <c r="V134" s="162"/>
      <c r="W134" s="162"/>
      <c r="X134" s="162"/>
      <c r="Y134" s="162"/>
      <c r="Z134" s="162"/>
      <c r="AA134" s="162"/>
      <c r="AB134" s="162"/>
      <c r="AC134" s="162"/>
    </row>
    <row r="135" spans="1:29">
      <c r="A135" s="162"/>
      <c r="B135" s="162"/>
      <c r="C135" s="162"/>
      <c r="D135" s="162"/>
      <c r="E135" s="162"/>
      <c r="F135" s="162"/>
      <c r="G135" s="162"/>
      <c r="H135" s="162"/>
      <c r="I135" s="162"/>
      <c r="J135" s="162"/>
      <c r="K135" s="162"/>
      <c r="L135" s="163"/>
      <c r="M135" s="163"/>
      <c r="N135" s="162"/>
      <c r="O135" s="162"/>
      <c r="P135" s="162"/>
      <c r="Q135" s="162"/>
      <c r="R135" s="162"/>
      <c r="S135" s="162"/>
      <c r="T135" s="162"/>
      <c r="U135" s="162"/>
      <c r="V135" s="162"/>
      <c r="W135" s="162"/>
      <c r="X135" s="162"/>
      <c r="Y135" s="162"/>
      <c r="Z135" s="162"/>
      <c r="AA135" s="162"/>
      <c r="AB135" s="162"/>
      <c r="AC135" s="162"/>
    </row>
    <row r="136" spans="1:29">
      <c r="A136" s="162"/>
      <c r="B136" s="162"/>
      <c r="C136" s="162"/>
      <c r="D136" s="162"/>
      <c r="E136" s="162"/>
      <c r="F136" s="162"/>
      <c r="G136" s="162"/>
      <c r="H136" s="162"/>
      <c r="I136" s="162"/>
      <c r="J136" s="162"/>
      <c r="K136" s="162"/>
      <c r="L136" s="163"/>
      <c r="M136" s="163"/>
      <c r="N136" s="162"/>
      <c r="O136" s="162"/>
      <c r="P136" s="162"/>
      <c r="Q136" s="162"/>
      <c r="R136" s="162"/>
      <c r="S136" s="162"/>
      <c r="T136" s="162"/>
      <c r="U136" s="162"/>
      <c r="V136" s="162"/>
      <c r="W136" s="162"/>
      <c r="X136" s="162"/>
      <c r="Y136" s="162"/>
      <c r="Z136" s="162"/>
      <c r="AA136" s="162"/>
      <c r="AB136" s="162"/>
      <c r="AC136" s="162"/>
    </row>
    <row r="137" spans="1:29">
      <c r="A137" s="162"/>
      <c r="B137" s="162"/>
      <c r="C137" s="162"/>
      <c r="D137" s="162"/>
      <c r="E137" s="162"/>
      <c r="F137" s="162"/>
      <c r="G137" s="162"/>
      <c r="H137" s="162"/>
      <c r="I137" s="162"/>
      <c r="J137" s="162"/>
      <c r="K137" s="162"/>
      <c r="L137" s="163"/>
      <c r="M137" s="163"/>
      <c r="N137" s="162"/>
      <c r="O137" s="162"/>
      <c r="P137" s="162"/>
      <c r="Q137" s="162"/>
      <c r="R137" s="162"/>
      <c r="S137" s="162"/>
      <c r="T137" s="162"/>
      <c r="U137" s="162"/>
      <c r="V137" s="162"/>
      <c r="W137" s="162"/>
      <c r="X137" s="162"/>
      <c r="Y137" s="162"/>
      <c r="Z137" s="162"/>
      <c r="AA137" s="162"/>
      <c r="AB137" s="162"/>
      <c r="AC137" s="162"/>
    </row>
    <row r="138" spans="1:29">
      <c r="A138" s="162"/>
      <c r="B138" s="162"/>
      <c r="C138" s="162"/>
      <c r="D138" s="162"/>
      <c r="E138" s="162"/>
      <c r="F138" s="162"/>
      <c r="G138" s="162"/>
      <c r="H138" s="162"/>
      <c r="I138" s="162"/>
      <c r="J138" s="162"/>
      <c r="K138" s="162"/>
      <c r="L138" s="163"/>
      <c r="M138" s="163"/>
      <c r="N138" s="162"/>
      <c r="O138" s="162"/>
      <c r="P138" s="162"/>
      <c r="Q138" s="162"/>
      <c r="R138" s="162"/>
      <c r="S138" s="162"/>
      <c r="T138" s="162"/>
      <c r="U138" s="162"/>
      <c r="V138" s="162"/>
      <c r="W138" s="162"/>
      <c r="X138" s="162"/>
      <c r="Y138" s="162"/>
      <c r="Z138" s="162"/>
      <c r="AA138" s="162"/>
      <c r="AB138" s="162"/>
      <c r="AC138" s="162"/>
    </row>
    <row r="139" spans="1:29">
      <c r="A139" s="162"/>
      <c r="B139" s="162"/>
      <c r="C139" s="162"/>
      <c r="D139" s="162"/>
      <c r="E139" s="162"/>
      <c r="F139" s="162"/>
      <c r="G139" s="162"/>
      <c r="H139" s="162"/>
      <c r="I139" s="162"/>
      <c r="J139" s="162"/>
      <c r="K139" s="162"/>
      <c r="L139" s="163"/>
      <c r="M139" s="163"/>
      <c r="N139" s="162"/>
      <c r="O139" s="162"/>
      <c r="P139" s="162"/>
      <c r="Q139" s="162"/>
      <c r="R139" s="162"/>
      <c r="S139" s="162"/>
      <c r="T139" s="162"/>
      <c r="U139" s="162"/>
      <c r="V139" s="162"/>
      <c r="W139" s="162"/>
      <c r="X139" s="162"/>
      <c r="Y139" s="162"/>
      <c r="Z139" s="162"/>
      <c r="AA139" s="162"/>
      <c r="AB139" s="162"/>
      <c r="AC139" s="162"/>
    </row>
    <row r="140" spans="1:29">
      <c r="A140" s="162"/>
      <c r="B140" s="162"/>
      <c r="C140" s="162"/>
      <c r="D140" s="162"/>
      <c r="E140" s="162"/>
      <c r="F140" s="162"/>
      <c r="G140" s="162"/>
      <c r="H140" s="162"/>
      <c r="I140" s="162"/>
      <c r="J140" s="162"/>
      <c r="K140" s="162"/>
      <c r="L140" s="163"/>
      <c r="M140" s="163"/>
      <c r="N140" s="162"/>
      <c r="O140" s="162"/>
      <c r="P140" s="162"/>
      <c r="Q140" s="162"/>
      <c r="R140" s="162"/>
      <c r="S140" s="162"/>
      <c r="T140" s="162"/>
      <c r="U140" s="162"/>
      <c r="V140" s="162"/>
      <c r="W140" s="162"/>
      <c r="X140" s="162"/>
      <c r="Y140" s="162"/>
      <c r="Z140" s="162"/>
      <c r="AA140" s="162"/>
      <c r="AB140" s="162"/>
      <c r="AC140" s="162"/>
    </row>
    <row r="141" spans="1:29">
      <c r="A141" s="162"/>
      <c r="B141" s="162"/>
      <c r="C141" s="162"/>
      <c r="D141" s="162"/>
      <c r="E141" s="162"/>
      <c r="F141" s="162"/>
      <c r="G141" s="162"/>
      <c r="H141" s="162"/>
      <c r="I141" s="162"/>
      <c r="J141" s="162"/>
      <c r="K141" s="162"/>
      <c r="L141" s="163"/>
      <c r="M141" s="163"/>
      <c r="N141" s="162"/>
      <c r="O141" s="162"/>
      <c r="P141" s="162"/>
      <c r="Q141" s="162"/>
      <c r="R141" s="162"/>
      <c r="S141" s="162"/>
      <c r="T141" s="162"/>
      <c r="U141" s="162"/>
      <c r="V141" s="162"/>
      <c r="W141" s="162"/>
      <c r="X141" s="162"/>
      <c r="Y141" s="162"/>
      <c r="Z141" s="162"/>
      <c r="AA141" s="162"/>
      <c r="AB141" s="162"/>
      <c r="AC141" s="162"/>
    </row>
    <row r="142" spans="1:29">
      <c r="A142" s="162"/>
      <c r="B142" s="162"/>
      <c r="C142" s="162"/>
      <c r="D142" s="162"/>
      <c r="E142" s="162"/>
      <c r="F142" s="162"/>
      <c r="G142" s="162"/>
      <c r="H142" s="162"/>
      <c r="I142" s="162"/>
      <c r="J142" s="162"/>
      <c r="K142" s="162"/>
      <c r="L142" s="163"/>
      <c r="M142" s="163"/>
      <c r="N142" s="162"/>
      <c r="O142" s="162"/>
      <c r="P142" s="162"/>
      <c r="Q142" s="162"/>
      <c r="R142" s="162"/>
      <c r="S142" s="162"/>
      <c r="T142" s="162"/>
      <c r="U142" s="162"/>
      <c r="V142" s="162"/>
      <c r="W142" s="162"/>
      <c r="X142" s="162"/>
      <c r="Y142" s="162"/>
      <c r="Z142" s="162"/>
      <c r="AA142" s="162"/>
      <c r="AB142" s="162"/>
      <c r="AC142" s="162"/>
    </row>
    <row r="143" spans="1:29">
      <c r="A143" s="162"/>
      <c r="B143" s="162"/>
      <c r="C143" s="162"/>
      <c r="D143" s="162"/>
      <c r="E143" s="162"/>
      <c r="F143" s="162"/>
      <c r="G143" s="162"/>
      <c r="H143" s="162"/>
      <c r="I143" s="162"/>
      <c r="J143" s="162"/>
      <c r="K143" s="162"/>
      <c r="L143" s="163"/>
      <c r="M143" s="163"/>
      <c r="N143" s="162"/>
      <c r="O143" s="162"/>
      <c r="P143" s="162"/>
      <c r="Q143" s="162"/>
      <c r="R143" s="162"/>
      <c r="S143" s="162"/>
      <c r="T143" s="162"/>
      <c r="U143" s="162"/>
      <c r="V143" s="162"/>
      <c r="W143" s="162"/>
      <c r="X143" s="162"/>
      <c r="Y143" s="162"/>
      <c r="Z143" s="162"/>
      <c r="AA143" s="162"/>
      <c r="AB143" s="162"/>
      <c r="AC143" s="162"/>
    </row>
    <row r="144" spans="1:29">
      <c r="A144" s="162"/>
      <c r="B144" s="162"/>
      <c r="C144" s="162"/>
      <c r="D144" s="162"/>
      <c r="E144" s="162"/>
      <c r="F144" s="162"/>
      <c r="G144" s="162"/>
      <c r="H144" s="162"/>
      <c r="I144" s="162"/>
      <c r="J144" s="162"/>
      <c r="K144" s="162"/>
      <c r="L144" s="163"/>
      <c r="M144" s="163"/>
      <c r="N144" s="162"/>
      <c r="O144" s="162"/>
      <c r="P144" s="162"/>
      <c r="Q144" s="162"/>
      <c r="R144" s="162"/>
      <c r="S144" s="162"/>
      <c r="T144" s="162"/>
      <c r="U144" s="162"/>
      <c r="V144" s="162"/>
      <c r="W144" s="162"/>
      <c r="X144" s="162"/>
      <c r="Y144" s="162"/>
      <c r="Z144" s="162"/>
      <c r="AA144" s="162"/>
      <c r="AB144" s="162"/>
      <c r="AC144" s="162"/>
    </row>
    <row r="145" spans="1:29">
      <c r="A145" s="162"/>
      <c r="B145" s="162"/>
      <c r="C145" s="162"/>
      <c r="D145" s="162"/>
      <c r="E145" s="162"/>
      <c r="F145" s="162"/>
      <c r="G145" s="162"/>
      <c r="H145" s="162"/>
      <c r="I145" s="162"/>
      <c r="J145" s="162"/>
      <c r="K145" s="162"/>
      <c r="L145" s="163"/>
      <c r="M145" s="163"/>
      <c r="N145" s="162"/>
      <c r="O145" s="162"/>
      <c r="P145" s="162"/>
      <c r="Q145" s="162"/>
      <c r="R145" s="162"/>
      <c r="S145" s="162"/>
      <c r="T145" s="162"/>
      <c r="U145" s="162"/>
      <c r="V145" s="162"/>
      <c r="W145" s="162"/>
      <c r="X145" s="162"/>
      <c r="Y145" s="162"/>
      <c r="Z145" s="162"/>
      <c r="AA145" s="162"/>
      <c r="AB145" s="162"/>
      <c r="AC145" s="162"/>
    </row>
    <row r="146" spans="1:29">
      <c r="A146" s="162"/>
      <c r="B146" s="162"/>
      <c r="C146" s="162"/>
      <c r="D146" s="162"/>
      <c r="E146" s="162"/>
      <c r="F146" s="162"/>
      <c r="G146" s="162"/>
      <c r="H146" s="162"/>
      <c r="I146" s="162"/>
      <c r="J146" s="162"/>
      <c r="K146" s="162"/>
      <c r="L146" s="163"/>
      <c r="M146" s="163"/>
      <c r="N146" s="162"/>
      <c r="O146" s="162"/>
      <c r="P146" s="162"/>
      <c r="Q146" s="162"/>
      <c r="R146" s="162"/>
      <c r="S146" s="162"/>
      <c r="T146" s="162"/>
      <c r="U146" s="162"/>
      <c r="V146" s="162"/>
      <c r="W146" s="162"/>
      <c r="X146" s="162"/>
      <c r="Y146" s="162"/>
      <c r="Z146" s="162"/>
      <c r="AA146" s="162"/>
      <c r="AB146" s="162"/>
      <c r="AC146" s="162"/>
    </row>
    <row r="147" spans="1:29">
      <c r="A147" s="162"/>
      <c r="B147" s="162"/>
      <c r="C147" s="162"/>
      <c r="D147" s="162"/>
      <c r="E147" s="162"/>
      <c r="F147" s="162"/>
      <c r="G147" s="162"/>
      <c r="H147" s="162"/>
      <c r="I147" s="162"/>
      <c r="J147" s="162"/>
      <c r="K147" s="162"/>
      <c r="L147" s="163"/>
      <c r="M147" s="163"/>
      <c r="N147" s="162"/>
      <c r="O147" s="162"/>
      <c r="P147" s="162"/>
      <c r="Q147" s="162"/>
      <c r="R147" s="162"/>
      <c r="S147" s="162"/>
      <c r="T147" s="162"/>
      <c r="U147" s="162"/>
      <c r="V147" s="162"/>
      <c r="W147" s="162"/>
      <c r="X147" s="162"/>
      <c r="Y147" s="162"/>
      <c r="Z147" s="162"/>
      <c r="AA147" s="162"/>
      <c r="AB147" s="162"/>
      <c r="AC147" s="162"/>
    </row>
    <row r="148" spans="1:29">
      <c r="A148" s="162"/>
      <c r="B148" s="162"/>
      <c r="C148" s="162"/>
      <c r="D148" s="162"/>
      <c r="E148" s="162"/>
      <c r="F148" s="162"/>
      <c r="G148" s="162"/>
      <c r="H148" s="162"/>
      <c r="I148" s="162"/>
      <c r="J148" s="162"/>
      <c r="K148" s="162"/>
      <c r="L148" s="163"/>
      <c r="M148" s="163"/>
      <c r="N148" s="162"/>
      <c r="O148" s="162"/>
      <c r="P148" s="162"/>
      <c r="Q148" s="162"/>
      <c r="R148" s="162"/>
      <c r="S148" s="162"/>
      <c r="T148" s="162"/>
      <c r="U148" s="162"/>
      <c r="V148" s="162"/>
      <c r="W148" s="162"/>
      <c r="X148" s="162"/>
      <c r="Y148" s="162"/>
      <c r="Z148" s="162"/>
      <c r="AA148" s="162"/>
      <c r="AB148" s="162"/>
      <c r="AC148" s="162"/>
    </row>
    <row r="149" spans="1:29">
      <c r="A149" s="162"/>
      <c r="B149" s="162"/>
      <c r="C149" s="162"/>
      <c r="D149" s="162"/>
      <c r="E149" s="162"/>
      <c r="F149" s="162"/>
      <c r="G149" s="162"/>
      <c r="H149" s="162"/>
      <c r="I149" s="162"/>
      <c r="J149" s="162"/>
      <c r="K149" s="162"/>
      <c r="L149" s="163"/>
      <c r="M149" s="163"/>
      <c r="N149" s="162"/>
      <c r="O149" s="162"/>
      <c r="P149" s="162"/>
      <c r="Q149" s="162"/>
      <c r="R149" s="162"/>
      <c r="S149" s="162"/>
      <c r="T149" s="162"/>
      <c r="U149" s="162"/>
      <c r="V149" s="162"/>
      <c r="W149" s="162"/>
      <c r="X149" s="162"/>
      <c r="Y149" s="162"/>
      <c r="Z149" s="162"/>
      <c r="AA149" s="162"/>
      <c r="AB149" s="162"/>
      <c r="AC149" s="162"/>
    </row>
    <row r="150" spans="1:29">
      <c r="A150" s="162"/>
      <c r="B150" s="162"/>
      <c r="C150" s="162"/>
      <c r="D150" s="162"/>
      <c r="E150" s="162"/>
      <c r="F150" s="162"/>
      <c r="G150" s="162"/>
      <c r="H150" s="162"/>
      <c r="I150" s="162"/>
      <c r="J150" s="162"/>
      <c r="K150" s="162"/>
      <c r="L150" s="163"/>
      <c r="M150" s="163"/>
      <c r="N150" s="162"/>
      <c r="O150" s="162"/>
      <c r="P150" s="162"/>
      <c r="Q150" s="162"/>
      <c r="R150" s="162"/>
      <c r="S150" s="162"/>
      <c r="T150" s="162"/>
      <c r="U150" s="162"/>
      <c r="V150" s="162"/>
      <c r="W150" s="162"/>
      <c r="X150" s="162"/>
      <c r="Y150" s="162"/>
      <c r="Z150" s="162"/>
      <c r="AA150" s="162"/>
      <c r="AB150" s="162"/>
      <c r="AC150" s="162"/>
    </row>
    <row r="151" spans="1:29">
      <c r="A151" s="162"/>
      <c r="B151" s="162"/>
      <c r="C151" s="162"/>
      <c r="D151" s="162"/>
      <c r="E151" s="162"/>
      <c r="F151" s="162"/>
      <c r="G151" s="162"/>
      <c r="H151" s="162"/>
      <c r="I151" s="162"/>
      <c r="J151" s="162"/>
      <c r="K151" s="162"/>
      <c r="L151" s="163"/>
      <c r="M151" s="163"/>
      <c r="N151" s="162"/>
      <c r="O151" s="162"/>
      <c r="P151" s="162"/>
      <c r="Q151" s="162"/>
      <c r="R151" s="162"/>
      <c r="S151" s="162"/>
      <c r="T151" s="162"/>
      <c r="U151" s="162"/>
      <c r="V151" s="162"/>
      <c r="W151" s="162"/>
      <c r="X151" s="162"/>
      <c r="Y151" s="162"/>
      <c r="Z151" s="162"/>
      <c r="AA151" s="162"/>
      <c r="AB151" s="162"/>
      <c r="AC151" s="162"/>
    </row>
    <row r="152" spans="1:29">
      <c r="A152" s="162"/>
      <c r="B152" s="162"/>
      <c r="C152" s="162"/>
      <c r="D152" s="162"/>
      <c r="E152" s="162"/>
      <c r="F152" s="162"/>
      <c r="G152" s="162"/>
      <c r="H152" s="162"/>
      <c r="I152" s="162"/>
      <c r="J152" s="162"/>
      <c r="K152" s="162"/>
      <c r="L152" s="163"/>
      <c r="M152" s="163"/>
      <c r="N152" s="162"/>
      <c r="O152" s="162"/>
      <c r="P152" s="162"/>
      <c r="Q152" s="162"/>
      <c r="R152" s="162"/>
      <c r="S152" s="162"/>
      <c r="T152" s="162"/>
      <c r="U152" s="162"/>
      <c r="V152" s="162"/>
      <c r="W152" s="162"/>
      <c r="X152" s="162"/>
      <c r="Y152" s="162"/>
      <c r="Z152" s="162"/>
      <c r="AA152" s="162"/>
      <c r="AB152" s="162"/>
      <c r="AC152" s="162"/>
    </row>
    <row r="153" spans="1:29">
      <c r="A153" s="162"/>
      <c r="B153" s="162"/>
      <c r="C153" s="162"/>
      <c r="D153" s="162"/>
      <c r="E153" s="162"/>
      <c r="F153" s="162"/>
      <c r="G153" s="162"/>
      <c r="H153" s="162"/>
      <c r="I153" s="162"/>
      <c r="J153" s="162"/>
      <c r="K153" s="162"/>
      <c r="L153" s="163"/>
      <c r="M153" s="163"/>
      <c r="N153" s="162"/>
      <c r="O153" s="162"/>
      <c r="P153" s="162"/>
      <c r="Q153" s="162"/>
      <c r="R153" s="162"/>
      <c r="S153" s="162"/>
      <c r="T153" s="162"/>
      <c r="U153" s="162"/>
      <c r="V153" s="162"/>
      <c r="W153" s="162"/>
      <c r="X153" s="162"/>
      <c r="Y153" s="162"/>
      <c r="Z153" s="162"/>
      <c r="AA153" s="162"/>
      <c r="AB153" s="162"/>
      <c r="AC153" s="162"/>
    </row>
    <row r="154" spans="1:29">
      <c r="A154" s="162"/>
      <c r="B154" s="162"/>
      <c r="C154" s="162"/>
      <c r="D154" s="162"/>
      <c r="E154" s="162"/>
      <c r="F154" s="162"/>
      <c r="G154" s="162"/>
      <c r="H154" s="162"/>
      <c r="I154" s="162"/>
      <c r="J154" s="162"/>
      <c r="K154" s="162"/>
      <c r="L154" s="163"/>
      <c r="M154" s="163"/>
      <c r="N154" s="162"/>
      <c r="O154" s="162"/>
      <c r="P154" s="162"/>
      <c r="Q154" s="162"/>
      <c r="R154" s="162"/>
      <c r="S154" s="162"/>
      <c r="T154" s="162"/>
      <c r="U154" s="162"/>
      <c r="V154" s="162"/>
      <c r="W154" s="162"/>
      <c r="X154" s="162"/>
      <c r="Y154" s="162"/>
      <c r="Z154" s="162"/>
      <c r="AA154" s="162"/>
      <c r="AB154" s="162"/>
      <c r="AC154" s="162"/>
    </row>
    <row r="155" spans="1:29">
      <c r="A155" s="162"/>
      <c r="B155" s="162"/>
      <c r="C155" s="162"/>
      <c r="D155" s="162"/>
      <c r="E155" s="162"/>
      <c r="F155" s="162"/>
      <c r="G155" s="162"/>
      <c r="H155" s="162"/>
      <c r="I155" s="162"/>
      <c r="J155" s="162"/>
      <c r="K155" s="162"/>
      <c r="L155" s="163"/>
      <c r="M155" s="163"/>
      <c r="N155" s="162"/>
      <c r="O155" s="162"/>
      <c r="P155" s="162"/>
      <c r="Q155" s="162"/>
      <c r="R155" s="162"/>
      <c r="S155" s="162"/>
      <c r="T155" s="162"/>
      <c r="U155" s="162"/>
      <c r="V155" s="162"/>
      <c r="W155" s="162"/>
      <c r="X155" s="162"/>
      <c r="Y155" s="162"/>
      <c r="Z155" s="162"/>
      <c r="AA155" s="162"/>
      <c r="AB155" s="162"/>
      <c r="AC155" s="162"/>
    </row>
    <row r="156" spans="1:29">
      <c r="A156" s="162"/>
      <c r="B156" s="162"/>
      <c r="C156" s="162"/>
      <c r="D156" s="162"/>
      <c r="E156" s="162"/>
      <c r="F156" s="162"/>
      <c r="G156" s="162"/>
      <c r="H156" s="162"/>
      <c r="I156" s="162"/>
      <c r="J156" s="162"/>
      <c r="K156" s="162"/>
      <c r="L156" s="163"/>
      <c r="M156" s="163"/>
      <c r="N156" s="162"/>
      <c r="O156" s="162"/>
      <c r="P156" s="162"/>
      <c r="Q156" s="162"/>
      <c r="R156" s="162"/>
      <c r="S156" s="162"/>
      <c r="T156" s="162"/>
      <c r="U156" s="162"/>
      <c r="V156" s="162"/>
      <c r="W156" s="162"/>
      <c r="X156" s="162"/>
      <c r="Y156" s="162"/>
      <c r="Z156" s="162"/>
      <c r="AA156" s="162"/>
      <c r="AB156" s="162"/>
      <c r="AC156" s="162"/>
    </row>
    <row r="157" spans="1:29">
      <c r="A157" s="162"/>
      <c r="B157" s="162"/>
      <c r="C157" s="162"/>
      <c r="D157" s="162"/>
      <c r="E157" s="162"/>
      <c r="F157" s="162"/>
      <c r="G157" s="162"/>
      <c r="H157" s="162"/>
      <c r="I157" s="162"/>
      <c r="J157" s="162"/>
      <c r="K157" s="162"/>
      <c r="L157" s="163"/>
      <c r="M157" s="163"/>
      <c r="N157" s="162"/>
      <c r="O157" s="162"/>
      <c r="P157" s="162"/>
      <c r="Q157" s="162"/>
      <c r="R157" s="162"/>
      <c r="S157" s="162"/>
      <c r="T157" s="162"/>
      <c r="U157" s="162"/>
      <c r="V157" s="162"/>
      <c r="W157" s="162"/>
      <c r="X157" s="162"/>
      <c r="Y157" s="162"/>
      <c r="Z157" s="162"/>
      <c r="AA157" s="162"/>
      <c r="AB157" s="162"/>
      <c r="AC157" s="162"/>
    </row>
    <row r="158" spans="1:29">
      <c r="A158" s="162"/>
      <c r="B158" s="162"/>
      <c r="C158" s="162"/>
      <c r="D158" s="162"/>
      <c r="E158" s="162"/>
      <c r="F158" s="162"/>
      <c r="G158" s="162"/>
      <c r="H158" s="162"/>
      <c r="I158" s="162"/>
      <c r="J158" s="162"/>
      <c r="K158" s="162"/>
      <c r="L158" s="163"/>
      <c r="M158" s="163"/>
      <c r="N158" s="162"/>
      <c r="O158" s="162"/>
      <c r="P158" s="162"/>
      <c r="Q158" s="162"/>
      <c r="R158" s="162"/>
      <c r="S158" s="162"/>
      <c r="T158" s="162"/>
      <c r="U158" s="162"/>
      <c r="V158" s="162"/>
      <c r="W158" s="162"/>
      <c r="X158" s="162"/>
      <c r="Y158" s="162"/>
      <c r="Z158" s="162"/>
      <c r="AA158" s="162"/>
      <c r="AB158" s="162"/>
      <c r="AC158" s="162"/>
    </row>
    <row r="159" spans="1:29">
      <c r="A159" s="162"/>
      <c r="B159" s="162"/>
      <c r="C159" s="162"/>
      <c r="D159" s="162"/>
      <c r="E159" s="162"/>
      <c r="F159" s="162"/>
      <c r="G159" s="162"/>
      <c r="H159" s="162"/>
      <c r="I159" s="162"/>
      <c r="J159" s="162"/>
      <c r="K159" s="162"/>
      <c r="L159" s="163"/>
      <c r="M159" s="163"/>
      <c r="N159" s="162"/>
      <c r="O159" s="162"/>
      <c r="P159" s="162"/>
      <c r="Q159" s="162"/>
      <c r="R159" s="162"/>
      <c r="S159" s="162"/>
      <c r="T159" s="162"/>
      <c r="U159" s="162"/>
      <c r="V159" s="162"/>
      <c r="W159" s="162"/>
      <c r="X159" s="162"/>
      <c r="Y159" s="162"/>
      <c r="Z159" s="162"/>
      <c r="AA159" s="162"/>
      <c r="AB159" s="162"/>
      <c r="AC159" s="162"/>
    </row>
    <row r="160" spans="1:29">
      <c r="A160" s="162"/>
      <c r="B160" s="162"/>
      <c r="C160" s="162"/>
      <c r="D160" s="162"/>
      <c r="E160" s="162"/>
      <c r="F160" s="162"/>
      <c r="G160" s="162"/>
      <c r="H160" s="162"/>
      <c r="I160" s="162"/>
      <c r="J160" s="162"/>
      <c r="K160" s="162"/>
      <c r="L160" s="163"/>
      <c r="M160" s="163"/>
      <c r="N160" s="162"/>
      <c r="O160" s="162"/>
      <c r="P160" s="162"/>
      <c r="Q160" s="162"/>
      <c r="R160" s="162"/>
      <c r="S160" s="162"/>
      <c r="T160" s="162"/>
      <c r="U160" s="162"/>
      <c r="V160" s="162"/>
      <c r="W160" s="162"/>
      <c r="X160" s="162"/>
      <c r="Y160" s="162"/>
      <c r="Z160" s="162"/>
      <c r="AA160" s="162"/>
      <c r="AB160" s="162"/>
      <c r="AC160" s="162"/>
    </row>
    <row r="161" spans="1:29">
      <c r="A161" s="162"/>
      <c r="B161" s="162"/>
      <c r="C161" s="162"/>
      <c r="D161" s="162"/>
      <c r="E161" s="162"/>
      <c r="F161" s="162"/>
      <c r="G161" s="162"/>
      <c r="H161" s="162"/>
      <c r="I161" s="162"/>
      <c r="J161" s="162"/>
      <c r="K161" s="162"/>
      <c r="L161" s="163"/>
      <c r="M161" s="163"/>
      <c r="N161" s="162"/>
      <c r="O161" s="162"/>
      <c r="P161" s="162"/>
      <c r="Q161" s="162"/>
      <c r="R161" s="162"/>
      <c r="S161" s="162"/>
      <c r="T161" s="162"/>
      <c r="U161" s="162"/>
      <c r="V161" s="162"/>
      <c r="W161" s="162"/>
      <c r="X161" s="162"/>
      <c r="Y161" s="162"/>
      <c r="Z161" s="162"/>
      <c r="AA161" s="162"/>
      <c r="AB161" s="162"/>
      <c r="AC161" s="162"/>
    </row>
    <row r="162" spans="1:29">
      <c r="A162" s="162"/>
      <c r="B162" s="162"/>
      <c r="C162" s="162"/>
      <c r="D162" s="162"/>
      <c r="E162" s="162"/>
      <c r="F162" s="162"/>
      <c r="G162" s="162"/>
      <c r="H162" s="162"/>
      <c r="I162" s="162"/>
      <c r="J162" s="162"/>
      <c r="K162" s="162"/>
      <c r="L162" s="163"/>
      <c r="M162" s="163"/>
      <c r="N162" s="162"/>
      <c r="O162" s="162"/>
      <c r="P162" s="162"/>
      <c r="Q162" s="162"/>
      <c r="R162" s="162"/>
      <c r="S162" s="162"/>
      <c r="T162" s="162"/>
      <c r="U162" s="162"/>
      <c r="V162" s="162"/>
      <c r="W162" s="162"/>
      <c r="X162" s="162"/>
      <c r="Y162" s="162"/>
      <c r="Z162" s="162"/>
      <c r="AA162" s="162"/>
      <c r="AB162" s="162"/>
      <c r="AC162" s="162"/>
    </row>
    <row r="163" spans="1:29">
      <c r="A163" s="162"/>
      <c r="B163" s="162"/>
      <c r="C163" s="162"/>
      <c r="D163" s="162"/>
      <c r="E163" s="162"/>
      <c r="F163" s="162"/>
      <c r="G163" s="162"/>
      <c r="H163" s="162"/>
      <c r="I163" s="162"/>
      <c r="J163" s="162"/>
      <c r="K163" s="162"/>
      <c r="L163" s="163"/>
      <c r="M163" s="163"/>
      <c r="N163" s="162"/>
      <c r="O163" s="162"/>
      <c r="P163" s="162"/>
      <c r="Q163" s="162"/>
      <c r="R163" s="162"/>
      <c r="S163" s="162"/>
      <c r="T163" s="162"/>
      <c r="U163" s="162"/>
      <c r="V163" s="162"/>
      <c r="W163" s="162"/>
      <c r="X163" s="162"/>
      <c r="Y163" s="162"/>
      <c r="Z163" s="162"/>
      <c r="AA163" s="162"/>
      <c r="AB163" s="162"/>
      <c r="AC163" s="162"/>
    </row>
    <row r="164" spans="1:29">
      <c r="A164" s="162"/>
      <c r="B164" s="162"/>
      <c r="C164" s="162"/>
      <c r="D164" s="162"/>
      <c r="E164" s="162"/>
      <c r="F164" s="162"/>
      <c r="G164" s="162"/>
      <c r="H164" s="162"/>
      <c r="I164" s="162"/>
      <c r="J164" s="162"/>
      <c r="K164" s="162"/>
      <c r="L164" s="163"/>
      <c r="M164" s="163"/>
      <c r="N164" s="162"/>
      <c r="O164" s="162"/>
      <c r="P164" s="162"/>
      <c r="Q164" s="162"/>
      <c r="R164" s="162"/>
      <c r="S164" s="162"/>
      <c r="T164" s="162"/>
      <c r="U164" s="162"/>
      <c r="V164" s="162"/>
      <c r="W164" s="162"/>
      <c r="X164" s="162"/>
      <c r="Y164" s="162"/>
      <c r="Z164" s="162"/>
      <c r="AA164" s="162"/>
      <c r="AB164" s="162"/>
      <c r="AC164" s="162"/>
    </row>
    <row r="165" spans="1:29">
      <c r="A165" s="162"/>
      <c r="B165" s="162"/>
      <c r="C165" s="162"/>
      <c r="D165" s="162"/>
      <c r="E165" s="162"/>
      <c r="F165" s="162"/>
      <c r="G165" s="162"/>
      <c r="H165" s="162"/>
      <c r="I165" s="162"/>
      <c r="J165" s="162"/>
      <c r="K165" s="162"/>
      <c r="L165" s="163"/>
      <c r="M165" s="163"/>
      <c r="N165" s="162"/>
      <c r="O165" s="162"/>
      <c r="P165" s="162"/>
      <c r="Q165" s="162"/>
      <c r="R165" s="162"/>
      <c r="S165" s="162"/>
      <c r="T165" s="162"/>
      <c r="U165" s="162"/>
      <c r="V165" s="162"/>
      <c r="W165" s="162"/>
      <c r="X165" s="162"/>
      <c r="Y165" s="162"/>
      <c r="Z165" s="162"/>
      <c r="AA165" s="162"/>
      <c r="AB165" s="162"/>
      <c r="AC165" s="162"/>
    </row>
    <row r="166" spans="1:29">
      <c r="A166" s="162"/>
      <c r="B166" s="162"/>
      <c r="C166" s="162"/>
      <c r="D166" s="162"/>
      <c r="E166" s="162"/>
      <c r="F166" s="162"/>
      <c r="G166" s="162"/>
      <c r="H166" s="162"/>
      <c r="I166" s="162"/>
      <c r="J166" s="162"/>
      <c r="K166" s="162"/>
      <c r="L166" s="163"/>
      <c r="M166" s="163"/>
      <c r="N166" s="162"/>
      <c r="O166" s="162"/>
      <c r="P166" s="162"/>
      <c r="Q166" s="162"/>
      <c r="R166" s="162"/>
      <c r="S166" s="162"/>
      <c r="T166" s="162"/>
      <c r="U166" s="162"/>
      <c r="V166" s="162"/>
      <c r="W166" s="162"/>
      <c r="X166" s="162"/>
      <c r="Y166" s="162"/>
      <c r="Z166" s="162"/>
      <c r="AA166" s="162"/>
      <c r="AB166" s="162"/>
      <c r="AC166" s="162"/>
    </row>
    <row r="167" spans="1:29">
      <c r="A167" s="162"/>
      <c r="B167" s="162"/>
      <c r="C167" s="162"/>
      <c r="D167" s="162"/>
      <c r="E167" s="162"/>
      <c r="F167" s="162"/>
      <c r="G167" s="162"/>
      <c r="H167" s="162"/>
      <c r="I167" s="162"/>
      <c r="J167" s="162"/>
      <c r="K167" s="162"/>
      <c r="L167" s="163"/>
      <c r="M167" s="163"/>
      <c r="N167" s="162"/>
      <c r="O167" s="162"/>
      <c r="P167" s="162"/>
      <c r="Q167" s="162"/>
      <c r="R167" s="162"/>
      <c r="S167" s="162"/>
      <c r="T167" s="162"/>
      <c r="U167" s="162"/>
      <c r="V167" s="162"/>
      <c r="W167" s="162"/>
      <c r="X167" s="162"/>
      <c r="Y167" s="162"/>
      <c r="Z167" s="162"/>
      <c r="AA167" s="162"/>
      <c r="AB167" s="162"/>
      <c r="AC167" s="162"/>
    </row>
    <row r="168" spans="1:29">
      <c r="A168" s="162"/>
      <c r="B168" s="162"/>
      <c r="C168" s="162"/>
      <c r="D168" s="162"/>
      <c r="E168" s="162"/>
      <c r="F168" s="162"/>
      <c r="G168" s="162"/>
      <c r="H168" s="162"/>
      <c r="I168" s="162"/>
      <c r="J168" s="162"/>
      <c r="K168" s="162"/>
      <c r="L168" s="163"/>
      <c r="M168" s="163"/>
      <c r="N168" s="162"/>
      <c r="O168" s="162"/>
      <c r="P168" s="162"/>
      <c r="Q168" s="162"/>
      <c r="R168" s="162"/>
      <c r="S168" s="162"/>
      <c r="T168" s="162"/>
      <c r="U168" s="162"/>
      <c r="V168" s="162"/>
      <c r="W168" s="162"/>
      <c r="X168" s="162"/>
      <c r="Y168" s="162"/>
      <c r="Z168" s="162"/>
      <c r="AA168" s="162"/>
      <c r="AB168" s="162"/>
      <c r="AC168" s="162"/>
    </row>
    <row r="169" spans="1:29">
      <c r="A169" s="162"/>
      <c r="B169" s="162"/>
      <c r="C169" s="162"/>
      <c r="D169" s="162"/>
      <c r="E169" s="162"/>
      <c r="F169" s="162"/>
      <c r="G169" s="162"/>
      <c r="H169" s="162"/>
      <c r="I169" s="162"/>
      <c r="J169" s="162"/>
      <c r="K169" s="162"/>
      <c r="L169" s="163"/>
      <c r="M169" s="163"/>
      <c r="N169" s="162"/>
      <c r="O169" s="162"/>
      <c r="P169" s="162"/>
      <c r="Q169" s="162"/>
      <c r="R169" s="162"/>
      <c r="S169" s="162"/>
      <c r="T169" s="162"/>
      <c r="U169" s="162"/>
      <c r="V169" s="162"/>
      <c r="W169" s="162"/>
      <c r="X169" s="162"/>
      <c r="Y169" s="162"/>
      <c r="Z169" s="162"/>
      <c r="AA169" s="162"/>
      <c r="AB169" s="162"/>
      <c r="AC169" s="162"/>
    </row>
    <row r="170" spans="1:29">
      <c r="A170" s="162"/>
      <c r="B170" s="162"/>
      <c r="C170" s="162"/>
      <c r="D170" s="162"/>
      <c r="E170" s="162"/>
      <c r="F170" s="162"/>
      <c r="G170" s="162"/>
      <c r="H170" s="162"/>
      <c r="I170" s="162"/>
      <c r="J170" s="162"/>
      <c r="K170" s="162"/>
      <c r="L170" s="163"/>
      <c r="M170" s="163"/>
      <c r="N170" s="162"/>
      <c r="O170" s="162"/>
      <c r="P170" s="162"/>
      <c r="Q170" s="162"/>
      <c r="R170" s="162"/>
      <c r="S170" s="162"/>
      <c r="T170" s="162"/>
      <c r="U170" s="162"/>
      <c r="V170" s="162"/>
      <c r="W170" s="162"/>
      <c r="X170" s="162"/>
      <c r="Y170" s="162"/>
      <c r="Z170" s="162"/>
      <c r="AA170" s="162"/>
      <c r="AB170" s="162"/>
      <c r="AC170" s="162"/>
    </row>
    <row r="171" spans="1:29">
      <c r="A171" s="162"/>
      <c r="B171" s="162"/>
      <c r="C171" s="162"/>
      <c r="D171" s="162"/>
      <c r="E171" s="162"/>
      <c r="F171" s="162"/>
      <c r="G171" s="162"/>
      <c r="H171" s="162"/>
      <c r="I171" s="162"/>
      <c r="J171" s="162"/>
      <c r="K171" s="162"/>
      <c r="L171" s="163"/>
      <c r="M171" s="163"/>
      <c r="N171" s="162"/>
      <c r="O171" s="162"/>
      <c r="P171" s="162"/>
      <c r="Q171" s="162"/>
      <c r="R171" s="162"/>
      <c r="S171" s="162"/>
      <c r="T171" s="162"/>
      <c r="U171" s="162"/>
      <c r="V171" s="162"/>
      <c r="W171" s="162"/>
      <c r="X171" s="162"/>
      <c r="Y171" s="162"/>
      <c r="Z171" s="162"/>
      <c r="AA171" s="162"/>
      <c r="AB171" s="162"/>
      <c r="AC171" s="162"/>
    </row>
    <row r="172" spans="1:29">
      <c r="A172" s="162"/>
      <c r="B172" s="162"/>
      <c r="C172" s="162"/>
      <c r="D172" s="162"/>
      <c r="E172" s="162"/>
      <c r="F172" s="162"/>
      <c r="G172" s="162"/>
      <c r="H172" s="162"/>
      <c r="I172" s="162"/>
      <c r="J172" s="162"/>
      <c r="K172" s="162"/>
      <c r="L172" s="163"/>
      <c r="M172" s="163"/>
      <c r="N172" s="162"/>
      <c r="O172" s="162"/>
      <c r="P172" s="162"/>
      <c r="Q172" s="162"/>
      <c r="R172" s="162"/>
      <c r="S172" s="162"/>
      <c r="T172" s="162"/>
      <c r="U172" s="162"/>
      <c r="V172" s="162"/>
      <c r="W172" s="162"/>
      <c r="X172" s="162"/>
      <c r="Y172" s="162"/>
      <c r="Z172" s="162"/>
      <c r="AA172" s="162"/>
      <c r="AB172" s="162"/>
      <c r="AC172" s="162"/>
    </row>
    <row r="173" spans="1:29">
      <c r="A173" s="162"/>
      <c r="B173" s="162"/>
      <c r="C173" s="162"/>
      <c r="D173" s="162"/>
      <c r="E173" s="162"/>
      <c r="F173" s="162"/>
      <c r="G173" s="162"/>
      <c r="H173" s="162"/>
      <c r="I173" s="162"/>
      <c r="J173" s="162"/>
      <c r="K173" s="162"/>
      <c r="L173" s="163"/>
      <c r="M173" s="163"/>
      <c r="N173" s="162"/>
      <c r="O173" s="162"/>
      <c r="P173" s="162"/>
      <c r="Q173" s="162"/>
      <c r="R173" s="162"/>
      <c r="S173" s="162"/>
      <c r="T173" s="162"/>
      <c r="U173" s="162"/>
      <c r="V173" s="162"/>
      <c r="W173" s="162"/>
      <c r="X173" s="162"/>
      <c r="Y173" s="162"/>
      <c r="Z173" s="162"/>
      <c r="AA173" s="162"/>
      <c r="AB173" s="162"/>
      <c r="AC173" s="162"/>
    </row>
    <row r="174" spans="1:29">
      <c r="A174" s="162"/>
      <c r="B174" s="162"/>
      <c r="C174" s="162"/>
      <c r="D174" s="162"/>
      <c r="E174" s="162"/>
      <c r="F174" s="162"/>
      <c r="G174" s="162"/>
      <c r="H174" s="162"/>
      <c r="I174" s="162"/>
      <c r="J174" s="162"/>
      <c r="K174" s="162"/>
      <c r="L174" s="163"/>
      <c r="M174" s="163"/>
      <c r="N174" s="162"/>
      <c r="O174" s="162"/>
      <c r="P174" s="162"/>
      <c r="Q174" s="162"/>
      <c r="R174" s="162"/>
      <c r="S174" s="162"/>
      <c r="T174" s="162"/>
      <c r="U174" s="162"/>
      <c r="V174" s="162"/>
      <c r="W174" s="162"/>
      <c r="X174" s="162"/>
      <c r="Y174" s="162"/>
      <c r="Z174" s="162"/>
      <c r="AA174" s="162"/>
      <c r="AB174" s="162"/>
      <c r="AC174" s="162"/>
    </row>
    <row r="175" spans="1:29">
      <c r="A175" s="162"/>
      <c r="B175" s="162"/>
      <c r="C175" s="162"/>
      <c r="D175" s="162"/>
      <c r="E175" s="162"/>
      <c r="F175" s="162"/>
      <c r="G175" s="162"/>
      <c r="H175" s="162"/>
      <c r="I175" s="162"/>
      <c r="J175" s="162"/>
      <c r="K175" s="162"/>
      <c r="L175" s="163"/>
      <c r="M175" s="163"/>
      <c r="N175" s="162"/>
      <c r="O175" s="162"/>
      <c r="P175" s="162"/>
      <c r="Q175" s="162"/>
      <c r="R175" s="162"/>
      <c r="S175" s="162"/>
      <c r="T175" s="162"/>
      <c r="U175" s="162"/>
      <c r="V175" s="162"/>
      <c r="W175" s="162"/>
      <c r="X175" s="162"/>
      <c r="Y175" s="162"/>
      <c r="Z175" s="162"/>
      <c r="AA175" s="162"/>
      <c r="AB175" s="162"/>
      <c r="AC175" s="162"/>
    </row>
    <row r="176" spans="1:29">
      <c r="A176" s="162"/>
      <c r="B176" s="162"/>
      <c r="C176" s="162"/>
      <c r="D176" s="162"/>
      <c r="E176" s="162"/>
      <c r="F176" s="162"/>
      <c r="G176" s="162"/>
      <c r="H176" s="162"/>
      <c r="I176" s="162"/>
      <c r="J176" s="162"/>
      <c r="K176" s="162"/>
      <c r="L176" s="163"/>
      <c r="M176" s="163"/>
      <c r="N176" s="162"/>
      <c r="O176" s="162"/>
      <c r="P176" s="162"/>
      <c r="Q176" s="162"/>
      <c r="R176" s="162"/>
      <c r="S176" s="162"/>
      <c r="T176" s="162"/>
      <c r="U176" s="162"/>
      <c r="V176" s="162"/>
      <c r="W176" s="162"/>
      <c r="X176" s="162"/>
      <c r="Y176" s="162"/>
      <c r="Z176" s="162"/>
      <c r="AA176" s="162"/>
      <c r="AB176" s="162"/>
      <c r="AC176" s="162"/>
    </row>
    <row r="177" spans="1:29">
      <c r="A177" s="162"/>
      <c r="B177" s="162"/>
      <c r="C177" s="162"/>
      <c r="D177" s="162"/>
      <c r="E177" s="162"/>
      <c r="F177" s="162"/>
      <c r="G177" s="162"/>
      <c r="H177" s="162"/>
      <c r="I177" s="162"/>
      <c r="J177" s="162"/>
      <c r="K177" s="162"/>
      <c r="L177" s="163"/>
      <c r="M177" s="163"/>
      <c r="N177" s="162"/>
      <c r="O177" s="162"/>
      <c r="P177" s="162"/>
      <c r="Q177" s="162"/>
      <c r="R177" s="162"/>
      <c r="S177" s="162"/>
      <c r="T177" s="162"/>
      <c r="U177" s="162"/>
      <c r="V177" s="162"/>
      <c r="W177" s="162"/>
      <c r="X177" s="162"/>
      <c r="Y177" s="162"/>
      <c r="Z177" s="162"/>
      <c r="AA177" s="162"/>
      <c r="AB177" s="162"/>
      <c r="AC177" s="162"/>
    </row>
    <row r="178" spans="1:29">
      <c r="A178" s="162"/>
      <c r="B178" s="162"/>
      <c r="C178" s="162"/>
      <c r="D178" s="162"/>
      <c r="E178" s="162"/>
      <c r="F178" s="162"/>
      <c r="G178" s="162"/>
      <c r="H178" s="162"/>
      <c r="I178" s="162"/>
      <c r="J178" s="162"/>
      <c r="K178" s="162"/>
      <c r="L178" s="163"/>
      <c r="M178" s="163"/>
      <c r="N178" s="162"/>
      <c r="O178" s="162"/>
      <c r="P178" s="162"/>
      <c r="Q178" s="162"/>
      <c r="R178" s="162"/>
      <c r="S178" s="162"/>
      <c r="T178" s="162"/>
      <c r="U178" s="162"/>
      <c r="V178" s="162"/>
      <c r="W178" s="162"/>
      <c r="X178" s="162"/>
      <c r="Y178" s="162"/>
      <c r="Z178" s="162"/>
      <c r="AA178" s="162"/>
      <c r="AB178" s="162"/>
      <c r="AC178" s="162"/>
    </row>
    <row r="179" spans="1:29">
      <c r="A179" s="162"/>
      <c r="B179" s="162"/>
      <c r="C179" s="162"/>
      <c r="D179" s="162"/>
      <c r="E179" s="162"/>
      <c r="F179" s="162"/>
      <c r="G179" s="162"/>
      <c r="H179" s="162"/>
      <c r="I179" s="162"/>
      <c r="J179" s="162"/>
      <c r="K179" s="162"/>
      <c r="L179" s="163"/>
      <c r="M179" s="163"/>
      <c r="N179" s="162"/>
      <c r="O179" s="162"/>
      <c r="P179" s="162"/>
      <c r="Q179" s="162"/>
      <c r="R179" s="162"/>
      <c r="S179" s="162"/>
      <c r="T179" s="162"/>
      <c r="U179" s="162"/>
      <c r="V179" s="162"/>
      <c r="W179" s="162"/>
      <c r="X179" s="162"/>
      <c r="Y179" s="162"/>
      <c r="Z179" s="162"/>
      <c r="AA179" s="162"/>
      <c r="AB179" s="162"/>
      <c r="AC179" s="162"/>
    </row>
    <row r="180" spans="1:29">
      <c r="A180" s="162"/>
      <c r="B180" s="162"/>
      <c r="C180" s="162"/>
      <c r="D180" s="162"/>
      <c r="E180" s="162"/>
      <c r="F180" s="162"/>
      <c r="G180" s="162"/>
      <c r="H180" s="162"/>
      <c r="I180" s="162"/>
      <c r="J180" s="162"/>
      <c r="K180" s="162"/>
      <c r="L180" s="163"/>
      <c r="M180" s="163"/>
      <c r="N180" s="162"/>
      <c r="O180" s="162"/>
      <c r="P180" s="162"/>
      <c r="Q180" s="162"/>
      <c r="R180" s="162"/>
      <c r="S180" s="162"/>
      <c r="T180" s="162"/>
      <c r="U180" s="162"/>
      <c r="V180" s="162"/>
      <c r="W180" s="162"/>
      <c r="X180" s="162"/>
      <c r="Y180" s="162"/>
      <c r="Z180" s="162"/>
      <c r="AA180" s="162"/>
      <c r="AB180" s="162"/>
      <c r="AC180" s="162"/>
    </row>
    <row r="181" spans="1:29">
      <c r="A181" s="162"/>
      <c r="B181" s="162"/>
      <c r="C181" s="162"/>
      <c r="D181" s="162"/>
      <c r="E181" s="162"/>
      <c r="F181" s="162"/>
      <c r="G181" s="162"/>
      <c r="H181" s="162"/>
      <c r="I181" s="162"/>
      <c r="J181" s="162"/>
      <c r="K181" s="162"/>
      <c r="L181" s="163"/>
      <c r="M181" s="163"/>
      <c r="N181" s="162"/>
      <c r="O181" s="162"/>
      <c r="P181" s="162"/>
      <c r="Q181" s="162"/>
      <c r="R181" s="162"/>
      <c r="S181" s="162"/>
      <c r="T181" s="162"/>
      <c r="U181" s="162"/>
      <c r="V181" s="162"/>
      <c r="W181" s="162"/>
      <c r="X181" s="162"/>
      <c r="Y181" s="162"/>
      <c r="Z181" s="162"/>
      <c r="AA181" s="162"/>
      <c r="AB181" s="162"/>
      <c r="AC181" s="162"/>
    </row>
    <row r="182" spans="1:29">
      <c r="A182" s="162"/>
      <c r="B182" s="162"/>
      <c r="C182" s="162"/>
      <c r="D182" s="162"/>
      <c r="E182" s="162"/>
      <c r="F182" s="162"/>
      <c r="G182" s="162"/>
      <c r="H182" s="162"/>
      <c r="I182" s="162"/>
      <c r="J182" s="162"/>
      <c r="K182" s="162"/>
      <c r="L182" s="163"/>
      <c r="M182" s="163"/>
      <c r="N182" s="162"/>
      <c r="O182" s="162"/>
      <c r="P182" s="162"/>
      <c r="Q182" s="162"/>
      <c r="R182" s="162"/>
      <c r="S182" s="162"/>
      <c r="T182" s="162"/>
      <c r="U182" s="162"/>
      <c r="V182" s="162"/>
      <c r="W182" s="162"/>
      <c r="X182" s="162"/>
      <c r="Y182" s="162"/>
      <c r="Z182" s="162"/>
      <c r="AA182" s="162"/>
      <c r="AB182" s="162"/>
      <c r="AC182" s="162"/>
    </row>
    <row r="183" spans="1:29">
      <c r="A183" s="162"/>
      <c r="B183" s="162"/>
      <c r="C183" s="162"/>
      <c r="D183" s="162"/>
      <c r="E183" s="162"/>
      <c r="F183" s="162"/>
      <c r="G183" s="162"/>
      <c r="H183" s="162"/>
      <c r="I183" s="162"/>
      <c r="J183" s="162"/>
      <c r="K183" s="162"/>
      <c r="L183" s="163"/>
      <c r="M183" s="163"/>
      <c r="N183" s="162"/>
      <c r="O183" s="162"/>
      <c r="P183" s="162"/>
      <c r="Q183" s="162"/>
      <c r="R183" s="162"/>
      <c r="S183" s="162"/>
      <c r="T183" s="162"/>
      <c r="U183" s="162"/>
      <c r="V183" s="162"/>
      <c r="W183" s="162"/>
      <c r="X183" s="162"/>
      <c r="Y183" s="162"/>
      <c r="Z183" s="162"/>
      <c r="AA183" s="162"/>
      <c r="AB183" s="162"/>
      <c r="AC183" s="162"/>
    </row>
    <row r="184" spans="1:29">
      <c r="A184" s="162"/>
      <c r="B184" s="162"/>
      <c r="C184" s="162"/>
      <c r="D184" s="162"/>
      <c r="E184" s="162"/>
      <c r="F184" s="162"/>
      <c r="G184" s="162"/>
      <c r="H184" s="162"/>
      <c r="I184" s="162"/>
      <c r="J184" s="162"/>
      <c r="K184" s="162"/>
      <c r="L184" s="163"/>
      <c r="M184" s="163"/>
      <c r="N184" s="162"/>
      <c r="O184" s="162"/>
      <c r="P184" s="162"/>
      <c r="Q184" s="162"/>
      <c r="R184" s="162"/>
      <c r="S184" s="162"/>
      <c r="T184" s="162"/>
      <c r="U184" s="162"/>
      <c r="V184" s="162"/>
      <c r="W184" s="162"/>
      <c r="X184" s="162"/>
      <c r="Y184" s="162"/>
      <c r="Z184" s="162"/>
      <c r="AA184" s="162"/>
      <c r="AB184" s="162"/>
      <c r="AC184" s="162"/>
    </row>
    <row r="185" spans="1:29">
      <c r="A185" s="162"/>
      <c r="B185" s="162"/>
      <c r="C185" s="162"/>
      <c r="D185" s="162"/>
      <c r="E185" s="162"/>
      <c r="F185" s="162"/>
      <c r="G185" s="162"/>
      <c r="H185" s="162"/>
      <c r="I185" s="162"/>
      <c r="J185" s="162"/>
      <c r="K185" s="162"/>
      <c r="L185" s="163"/>
      <c r="M185" s="163"/>
      <c r="N185" s="162"/>
      <c r="O185" s="162"/>
      <c r="P185" s="162"/>
      <c r="Q185" s="162"/>
      <c r="R185" s="162"/>
      <c r="S185" s="162"/>
      <c r="T185" s="162"/>
      <c r="U185" s="162"/>
      <c r="V185" s="162"/>
      <c r="W185" s="162"/>
      <c r="X185" s="162"/>
      <c r="Y185" s="162"/>
      <c r="Z185" s="162"/>
      <c r="AA185" s="162"/>
      <c r="AB185" s="162"/>
      <c r="AC185" s="162"/>
    </row>
    <row r="186" spans="1:29">
      <c r="A186" s="162"/>
      <c r="B186" s="162"/>
      <c r="C186" s="162"/>
      <c r="D186" s="162"/>
      <c r="E186" s="162"/>
      <c r="F186" s="162"/>
      <c r="G186" s="162"/>
      <c r="H186" s="162"/>
      <c r="I186" s="162"/>
      <c r="J186" s="162"/>
      <c r="K186" s="162"/>
      <c r="L186" s="163"/>
      <c r="M186" s="163"/>
      <c r="N186" s="162"/>
      <c r="O186" s="162"/>
      <c r="P186" s="162"/>
      <c r="Q186" s="162"/>
      <c r="R186" s="162"/>
      <c r="S186" s="162"/>
      <c r="T186" s="162"/>
      <c r="U186" s="162"/>
      <c r="V186" s="162"/>
      <c r="W186" s="162"/>
      <c r="X186" s="162"/>
      <c r="Y186" s="162"/>
      <c r="Z186" s="162"/>
      <c r="AA186" s="162"/>
      <c r="AB186" s="162"/>
      <c r="AC186" s="162"/>
    </row>
    <row r="187" spans="1:29">
      <c r="A187" s="162"/>
      <c r="B187" s="162"/>
      <c r="C187" s="162"/>
      <c r="D187" s="162"/>
      <c r="E187" s="162"/>
      <c r="F187" s="162"/>
      <c r="G187" s="162"/>
      <c r="H187" s="162"/>
      <c r="I187" s="162"/>
      <c r="J187" s="162"/>
      <c r="K187" s="162"/>
      <c r="L187" s="163"/>
      <c r="M187" s="163"/>
      <c r="N187" s="162"/>
      <c r="O187" s="162"/>
      <c r="P187" s="162"/>
      <c r="Q187" s="162"/>
      <c r="R187" s="162"/>
      <c r="S187" s="162"/>
      <c r="T187" s="162"/>
      <c r="U187" s="162"/>
      <c r="V187" s="162"/>
      <c r="W187" s="162"/>
      <c r="X187" s="162"/>
      <c r="Y187" s="162"/>
      <c r="Z187" s="162"/>
      <c r="AA187" s="162"/>
      <c r="AB187" s="162"/>
      <c r="AC187" s="162"/>
    </row>
    <row r="188" spans="1:29">
      <c r="A188" s="162"/>
      <c r="B188" s="162"/>
      <c r="C188" s="162"/>
      <c r="D188" s="162"/>
      <c r="E188" s="162"/>
      <c r="F188" s="162"/>
      <c r="G188" s="162"/>
      <c r="H188" s="162"/>
      <c r="I188" s="162"/>
      <c r="J188" s="162"/>
      <c r="K188" s="162"/>
      <c r="L188" s="163"/>
      <c r="M188" s="163"/>
      <c r="N188" s="162"/>
      <c r="O188" s="162"/>
      <c r="P188" s="162"/>
      <c r="Q188" s="162"/>
      <c r="R188" s="162"/>
      <c r="S188" s="162"/>
      <c r="T188" s="162"/>
      <c r="U188" s="162"/>
      <c r="V188" s="162"/>
      <c r="W188" s="162"/>
      <c r="X188" s="162"/>
      <c r="Y188" s="162"/>
      <c r="Z188" s="162"/>
      <c r="AA188" s="162"/>
      <c r="AB188" s="162"/>
      <c r="AC188" s="162"/>
    </row>
  </sheetData>
  <mergeCells count="3">
    <mergeCell ref="A7:G7"/>
    <mergeCell ref="A8:G8"/>
    <mergeCell ref="A6:G6"/>
  </mergeCells>
  <dataValidations count="2">
    <dataValidation type="list" allowBlank="1" showInputMessage="1" showErrorMessage="1" sqref="F13:F84" xr:uid="{D471A48E-93FF-4901-89BD-DF01407EDBD9}">
      <formula1>Mass_Dropdown</formula1>
    </dataValidation>
    <dataValidation type="list" allowBlank="1" showInputMessage="1" showErrorMessage="1" sqref="D13:D84" xr:uid="{613FA753-068F-433D-AE82-A4D02057BF5B}">
      <formula1>INDIRECT(SUBSTITUTE($C13," ","_"))</formula1>
    </dataValidation>
  </dataValidations>
  <pageMargins left="0.25" right="0.25" top="0.25" bottom="0.25" header="0.5" footer="0.5"/>
  <pageSetup scale="84" orientation="portrait" r:id="rId1"/>
  <headerFooter alignWithMargins="0">
    <oddFooter>&amp;L&amp;"Arial,Italic"&amp;9EPA Climate Leaders Simplified GHG Emissions Calculator (Optional 3.0)&amp;R&amp;"Arial,Italic"&amp;9&amp;P of &amp;N</oddFooter>
  </headerFooter>
  <rowBreaks count="2" manualBreakCount="2">
    <brk id="85" max="16383" man="1"/>
    <brk id="88" max="16383" man="1"/>
  </rowBreaks>
  <colBreaks count="1" manualBreakCount="1">
    <brk id="7" max="1048575"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05B6C09-4551-49DC-967F-0223BB4E2D5E}">
          <x14:formula1>
            <xm:f>DropDown!$Y$1:$CF$1</xm:f>
          </x14:formula1>
          <xm:sqref>C13:C84</xm:sqref>
        </x14:dataValidation>
        <x14:dataValidation type="list" allowBlank="1" showInputMessage="1" showErrorMessage="1" xr:uid="{B1F768F1-EE1F-4F1B-8055-C72C5F2D5EB3}">
          <x14:formula1>
            <xm:f>'Emission Factors'!#REF!</xm:f>
          </x14:formula1>
          <xm:sqref>F12</xm:sqref>
        </x14:dataValidation>
        <x14:dataValidation type="list" allowBlank="1" showInputMessage="1" showErrorMessage="1" xr:uid="{4544FBE9-37B0-484F-AE2F-3CC28DB8786F}">
          <x14:formula1>
            <xm:f>DropDown!#REF!</xm:f>
          </x14:formula1>
          <xm:sqref>C12:D12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D199"/>
  <sheetViews>
    <sheetView zoomScale="80" zoomScaleNormal="80" workbookViewId="0"/>
  </sheetViews>
  <sheetFormatPr defaultColWidth="8.85546875" defaultRowHeight="12.75"/>
  <cols>
    <col min="1" max="1" width="8.85546875" customWidth="1"/>
    <col min="2" max="2" width="33.42578125" customWidth="1"/>
    <col min="3" max="3" width="14.85546875" customWidth="1"/>
    <col min="4" max="6" width="12.42578125" customWidth="1"/>
    <col min="7" max="7" width="9.85546875" customWidth="1"/>
  </cols>
  <sheetData>
    <row r="1" spans="1:30"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row>
    <row r="2" spans="1:30"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row>
    <row r="3" spans="1:30" ht="15">
      <c r="A3" s="5" t="s">
        <v>959</v>
      </c>
      <c r="B3" s="4"/>
      <c r="C3" s="4"/>
      <c r="D3" s="4"/>
      <c r="E3" s="4"/>
      <c r="F3" s="4"/>
      <c r="G3" s="4"/>
      <c r="H3" s="162"/>
      <c r="I3" s="162"/>
      <c r="J3" s="162"/>
      <c r="K3" s="162"/>
      <c r="L3" s="162"/>
      <c r="M3" s="162"/>
      <c r="N3" s="162"/>
      <c r="O3" s="162"/>
      <c r="P3" s="162"/>
      <c r="Q3" s="162"/>
      <c r="R3" s="162"/>
      <c r="S3" s="162"/>
      <c r="T3" s="162"/>
      <c r="U3" s="162"/>
      <c r="V3" s="162"/>
      <c r="W3" s="162"/>
      <c r="X3" s="162"/>
      <c r="Y3" s="162"/>
      <c r="Z3" s="162"/>
      <c r="AA3" s="162"/>
      <c r="AB3" s="162"/>
      <c r="AC3" s="162"/>
      <c r="AD3" s="162"/>
    </row>
    <row r="4" spans="1:30">
      <c r="A4" s="4"/>
      <c r="B4" s="4"/>
      <c r="C4" s="4"/>
      <c r="D4" s="4"/>
      <c r="E4" s="4"/>
      <c r="F4" s="4"/>
      <c r="G4" s="4"/>
      <c r="H4" s="162"/>
      <c r="I4" s="162"/>
      <c r="J4" s="162"/>
      <c r="K4" s="162"/>
      <c r="L4" s="162"/>
      <c r="M4" s="162"/>
      <c r="N4" s="162"/>
      <c r="O4" s="162"/>
      <c r="P4" s="162"/>
      <c r="Q4" s="162"/>
      <c r="R4" s="162"/>
      <c r="S4" s="162"/>
      <c r="T4" s="162"/>
      <c r="U4" s="162"/>
      <c r="V4" s="162"/>
      <c r="W4" s="162"/>
      <c r="X4" s="162"/>
      <c r="Y4" s="162"/>
      <c r="Z4" s="162"/>
      <c r="AA4" s="162"/>
      <c r="AB4" s="162"/>
      <c r="AC4" s="162"/>
      <c r="AD4" s="162"/>
    </row>
    <row r="5" spans="1:30">
      <c r="A5" s="7" t="s">
        <v>293</v>
      </c>
      <c r="B5" s="4"/>
      <c r="C5" s="4"/>
      <c r="D5" s="4"/>
      <c r="E5" s="4"/>
      <c r="F5" s="4"/>
      <c r="G5" s="4"/>
      <c r="H5" s="162"/>
      <c r="I5" s="162"/>
      <c r="J5" s="162"/>
      <c r="K5" s="162"/>
      <c r="L5" s="162"/>
      <c r="M5" s="162"/>
      <c r="N5" s="162"/>
      <c r="O5" s="162"/>
      <c r="P5" s="162"/>
      <c r="Q5" s="162"/>
      <c r="R5" s="162"/>
      <c r="S5" s="162"/>
      <c r="T5" s="162"/>
      <c r="U5" s="162"/>
      <c r="V5" s="162"/>
      <c r="W5" s="162"/>
      <c r="X5" s="162"/>
      <c r="Y5" s="162"/>
      <c r="Z5" s="162"/>
      <c r="AA5" s="162"/>
      <c r="AB5" s="162"/>
      <c r="AC5" s="162"/>
      <c r="AD5" s="162"/>
    </row>
    <row r="6" spans="1:30" ht="46.5" customHeight="1">
      <c r="A6" s="1220" t="s">
        <v>1364</v>
      </c>
      <c r="B6" s="1221"/>
      <c r="C6" s="1221"/>
      <c r="D6" s="1221"/>
      <c r="E6" s="1221"/>
      <c r="F6" s="1221"/>
      <c r="G6" s="4"/>
      <c r="H6" s="162"/>
      <c r="I6" s="162"/>
      <c r="J6" s="162"/>
      <c r="K6" s="162"/>
      <c r="L6" s="162"/>
      <c r="M6" s="162"/>
      <c r="N6" s="162"/>
      <c r="O6" s="162"/>
      <c r="P6" s="162"/>
      <c r="Q6" s="162"/>
      <c r="R6" s="162"/>
      <c r="S6" s="162"/>
      <c r="T6" s="162"/>
      <c r="U6" s="162"/>
      <c r="V6" s="162"/>
      <c r="W6" s="162"/>
      <c r="X6" s="162"/>
      <c r="Y6" s="162"/>
      <c r="Z6" s="162"/>
      <c r="AA6" s="162"/>
      <c r="AB6" s="162"/>
      <c r="AC6" s="162"/>
      <c r="AD6" s="162"/>
    </row>
    <row r="7" spans="1:30">
      <c r="A7" s="201"/>
      <c r="B7" s="162"/>
      <c r="C7" s="162"/>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row>
    <row r="8" spans="1:30" ht="13.5" thickBot="1">
      <c r="A8" s="161" t="s">
        <v>214</v>
      </c>
      <c r="B8" s="162"/>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row>
    <row r="9" spans="1:30" ht="53.25" thickBot="1">
      <c r="A9" s="424" t="s">
        <v>614</v>
      </c>
      <c r="B9" s="425" t="s">
        <v>616</v>
      </c>
      <c r="C9" s="274" t="s">
        <v>615</v>
      </c>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row>
    <row r="10" spans="1:30">
      <c r="A10" s="448" t="s">
        <v>213</v>
      </c>
      <c r="B10" s="449" t="s">
        <v>212</v>
      </c>
      <c r="C10" s="452">
        <v>5000</v>
      </c>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row>
    <row r="11" spans="1:30">
      <c r="A11" s="390"/>
      <c r="B11" s="391"/>
      <c r="C11" s="405"/>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row>
    <row r="12" spans="1:30">
      <c r="A12" s="392"/>
      <c r="B12" s="728"/>
      <c r="C12" s="406"/>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row>
    <row r="13" spans="1:30">
      <c r="A13" s="392"/>
      <c r="B13" s="728"/>
      <c r="C13" s="406"/>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row>
    <row r="14" spans="1:30">
      <c r="A14" s="392"/>
      <c r="B14" s="728"/>
      <c r="C14" s="406"/>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row>
    <row r="15" spans="1:30">
      <c r="A15" s="392"/>
      <c r="B15" s="386"/>
      <c r="C15" s="406"/>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row>
    <row r="16" spans="1:30">
      <c r="A16" s="392"/>
      <c r="B16" s="386"/>
      <c r="C16" s="406"/>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row>
    <row r="17" spans="1:30">
      <c r="A17" s="392"/>
      <c r="B17" s="386"/>
      <c r="C17" s="406"/>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row>
    <row r="18" spans="1:30">
      <c r="A18" s="392"/>
      <c r="B18" s="386"/>
      <c r="C18" s="406"/>
      <c r="D18" s="162"/>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row>
    <row r="19" spans="1:30">
      <c r="A19" s="392"/>
      <c r="B19" s="386"/>
      <c r="C19" s="406"/>
      <c r="D19" s="162"/>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row>
    <row r="20" spans="1:30" ht="13.5" thickBot="1">
      <c r="A20" s="393"/>
      <c r="B20" s="394"/>
      <c r="C20" s="407"/>
      <c r="D20" s="162"/>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row>
    <row r="21" spans="1:30">
      <c r="A21" s="162"/>
      <c r="B21" s="162"/>
      <c r="C21" s="162"/>
      <c r="D21" s="162"/>
      <c r="E21" s="162"/>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row>
    <row r="22" spans="1:30">
      <c r="A22" s="254" t="s">
        <v>979</v>
      </c>
      <c r="B22" s="223"/>
      <c r="C22" s="223"/>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row>
    <row r="23" spans="1:30" ht="13.5" thickBo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row>
    <row r="24" spans="1:30" ht="15" customHeight="1">
      <c r="A24" s="1285" t="s">
        <v>613</v>
      </c>
      <c r="B24" s="1286"/>
      <c r="C24" s="238"/>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row>
    <row r="25" spans="1:30" ht="13.5" thickBot="1">
      <c r="A25" s="1287"/>
      <c r="B25" s="1288"/>
      <c r="C25" s="239">
        <f>SUM(C11:C20)</f>
        <v>0</v>
      </c>
      <c r="D25" s="162"/>
      <c r="E25" s="162"/>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row>
    <row r="26" spans="1:30">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row>
    <row r="27" spans="1:30">
      <c r="A27" s="162"/>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row>
    <row r="28" spans="1:30">
      <c r="A28" s="162"/>
      <c r="B28" s="162"/>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row>
    <row r="29" spans="1:30">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row>
    <row r="30" spans="1:30">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row>
    <row r="31" spans="1:30">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row>
    <row r="32" spans="1:30">
      <c r="A32" s="162"/>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row>
    <row r="33" spans="1:30">
      <c r="A33" s="162"/>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row>
    <row r="34" spans="1:30">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row>
    <row r="35" spans="1:30">
      <c r="A35" s="16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row>
    <row r="36" spans="1:30">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row>
    <row r="37" spans="1:30">
      <c r="A37" s="162"/>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row>
    <row r="38" spans="1:30">
      <c r="A38" s="162"/>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row>
    <row r="39" spans="1:30">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row>
    <row r="40" spans="1:30">
      <c r="A40" s="162"/>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row>
    <row r="41" spans="1:30">
      <c r="A41" s="162"/>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row>
    <row r="42" spans="1:30">
      <c r="A42" s="162"/>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row>
    <row r="43" spans="1:30">
      <c r="A43" s="16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row>
    <row r="44" spans="1:30">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row>
    <row r="45" spans="1:30">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row>
    <row r="46" spans="1:30">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row>
    <row r="47" spans="1:30">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row>
    <row r="48" spans="1:30">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row>
    <row r="49" spans="1:30">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row>
    <row r="50" spans="1:30">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row>
    <row r="51" spans="1:30">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row>
    <row r="52" spans="1:30">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row>
    <row r="53" spans="1:30">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row>
    <row r="54" spans="1:30">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row>
    <row r="55" spans="1:30">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row>
    <row r="56" spans="1:30">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row>
    <row r="57" spans="1:30">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row>
    <row r="58" spans="1:30">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row>
    <row r="59" spans="1:30">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row>
    <row r="60" spans="1:30">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row>
    <row r="61" spans="1:30">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row>
    <row r="62" spans="1:30">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row>
    <row r="63" spans="1:30">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row>
    <row r="64" spans="1:30">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row>
    <row r="65" spans="1:30">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row>
    <row r="66" spans="1:30">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row>
    <row r="67" spans="1:30">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row>
    <row r="68" spans="1:30">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row>
    <row r="69" spans="1:30">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row>
    <row r="70" spans="1:30">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row>
    <row r="71" spans="1:30">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row>
    <row r="72" spans="1:30">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row>
    <row r="73" spans="1:30">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row>
    <row r="74" spans="1:30">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row>
    <row r="75" spans="1:30">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row>
    <row r="76" spans="1:30">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row>
    <row r="77" spans="1:30">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row>
    <row r="78" spans="1:30">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row>
    <row r="79" spans="1:30">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row>
    <row r="80" spans="1:30">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row>
    <row r="81" spans="1:30">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row>
    <row r="82" spans="1:30">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row>
    <row r="83" spans="1:30">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row>
    <row r="84" spans="1:30">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row>
    <row r="85" spans="1:30">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row>
    <row r="86" spans="1:30">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row>
    <row r="87" spans="1:30">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row>
    <row r="88" spans="1:30">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row>
    <row r="89" spans="1:30">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row>
    <row r="90" spans="1:30">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row>
    <row r="91" spans="1:30">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row>
    <row r="92" spans="1:30">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row>
    <row r="93" spans="1:30">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row>
    <row r="94" spans="1:30">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row>
    <row r="95" spans="1:30">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row>
    <row r="96" spans="1:30">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row>
    <row r="97" spans="1:30">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row>
    <row r="98" spans="1:30">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row>
    <row r="99" spans="1:30">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row>
    <row r="100" spans="1:30">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row>
    <row r="101" spans="1:30">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row>
    <row r="102" spans="1:30">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row>
    <row r="103" spans="1:30">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row>
    <row r="104" spans="1:30">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row>
    <row r="105" spans="1:30">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row>
    <row r="106" spans="1:30">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row>
    <row r="107" spans="1:30">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row>
    <row r="108" spans="1:30">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row>
    <row r="109" spans="1:30">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row>
    <row r="110" spans="1:30">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row>
    <row r="111" spans="1:30">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row>
    <row r="112" spans="1:30">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row>
    <row r="113" spans="1:30">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row>
    <row r="114" spans="1:30">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row>
    <row r="115" spans="1:30">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row>
    <row r="116" spans="1:30">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row>
    <row r="117" spans="1:30">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row>
    <row r="118" spans="1:30">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row>
    <row r="119" spans="1:30">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row>
    <row r="120" spans="1:30">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row>
    <row r="121" spans="1:30">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row>
    <row r="122" spans="1:30">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row>
    <row r="123" spans="1:30">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row>
    <row r="124" spans="1:30">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row>
    <row r="125" spans="1:30">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row>
    <row r="126" spans="1:30">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row>
    <row r="127" spans="1:30">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row>
    <row r="128" spans="1:30">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row>
    <row r="129" spans="1:30">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row>
    <row r="130" spans="1:30">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row>
    <row r="131" spans="1:30">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row>
    <row r="132" spans="1:30">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row>
    <row r="133" spans="1:30">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row>
    <row r="134" spans="1:30">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row>
    <row r="135" spans="1:30">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row>
    <row r="136" spans="1:30">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row>
    <row r="137" spans="1:30">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row>
    <row r="138" spans="1:30">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row>
    <row r="139" spans="1:30">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row>
    <row r="140" spans="1:30">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row>
    <row r="141" spans="1:30">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row>
    <row r="142" spans="1:30">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row>
    <row r="143" spans="1:30">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row>
    <row r="144" spans="1:30">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row>
    <row r="145" spans="1:30">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row>
    <row r="146" spans="1:30">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row>
    <row r="147" spans="1:30">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row>
    <row r="148" spans="1:30">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row>
    <row r="149" spans="1:30">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row>
    <row r="150" spans="1:30">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row>
    <row r="151" spans="1:30">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row>
    <row r="152" spans="1:30">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row>
    <row r="153" spans="1:30">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row>
    <row r="154" spans="1:30">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row>
    <row r="155" spans="1:30">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row>
    <row r="156" spans="1:30">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row>
    <row r="157" spans="1:30">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row>
    <row r="158" spans="1:30">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row>
    <row r="159" spans="1:30">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row>
    <row r="160" spans="1:30">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row>
    <row r="161" spans="1:30">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row>
    <row r="162" spans="1:30">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row>
    <row r="163" spans="1:30">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row>
    <row r="164" spans="1:30">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row>
    <row r="165" spans="1:30">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row>
    <row r="166" spans="1:30">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row>
    <row r="167" spans="1:30">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row>
    <row r="168" spans="1:30">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row>
    <row r="169" spans="1:30">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row>
    <row r="170" spans="1:30">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row>
    <row r="171" spans="1:30">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row>
    <row r="172" spans="1:30">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row>
    <row r="173" spans="1:30">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row>
    <row r="174" spans="1:30">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row>
    <row r="175" spans="1:30">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row>
    <row r="176" spans="1:30">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row>
    <row r="177" spans="1:30">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row>
    <row r="178" spans="1:30">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row>
    <row r="179" spans="1:30">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row>
    <row r="180" spans="1:30">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row>
    <row r="181" spans="1:30">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row>
    <row r="182" spans="1:30">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row>
    <row r="183" spans="1:30">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row>
    <row r="184" spans="1:30">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row>
    <row r="185" spans="1:30">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row>
    <row r="186" spans="1:30">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row>
    <row r="187" spans="1:30">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row>
    <row r="188" spans="1:30">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row>
    <row r="189" spans="1:30">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row>
    <row r="190" spans="1:30">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row>
    <row r="191" spans="1:30">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row>
    <row r="192" spans="1:30">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row>
    <row r="193" spans="1:30">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row>
    <row r="194" spans="1:30">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row>
    <row r="195" spans="1:30">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row>
    <row r="196" spans="1:30">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row>
    <row r="197" spans="1:30">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row>
    <row r="198" spans="1:30">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row>
    <row r="199" spans="1:30">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row>
  </sheetData>
  <mergeCells count="2">
    <mergeCell ref="A24:B25"/>
    <mergeCell ref="A6:F6"/>
  </mergeCells>
  <pageMargins left="0.7" right="0.7" top="0.75" bottom="0.75" header="0.3" footer="0.3"/>
  <pageSetup orientation="portrait" r:id="rId1"/>
  <ignoredErrors>
    <ignoredError sqref="C25"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AD202"/>
  <sheetViews>
    <sheetView zoomScale="80" zoomScaleNormal="80" workbookViewId="0"/>
  </sheetViews>
  <sheetFormatPr defaultColWidth="9.140625" defaultRowHeight="12.75"/>
  <cols>
    <col min="1" max="1" width="30.42578125" style="3" bestFit="1" customWidth="1"/>
    <col min="2" max="2" width="24" style="3" bestFit="1" customWidth="1"/>
    <col min="3" max="3" width="23.42578125" style="3" bestFit="1" customWidth="1"/>
    <col min="4" max="4" width="25.85546875" style="3" customWidth="1"/>
    <col min="5" max="16384" width="9.140625" style="3"/>
  </cols>
  <sheetData>
    <row r="1" spans="1:30" customFormat="1"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row>
    <row r="2" spans="1:30" customFormat="1"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row>
    <row r="3" spans="1:30" ht="15">
      <c r="A3" s="5" t="s">
        <v>617</v>
      </c>
      <c r="B3" s="8"/>
      <c r="C3" s="8"/>
      <c r="D3" s="8"/>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row>
    <row r="4" spans="1:30">
      <c r="A4" s="8"/>
      <c r="B4" s="8"/>
      <c r="C4" s="8"/>
      <c r="D4" s="8"/>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row>
    <row r="5" spans="1:30" ht="13.5" thickBot="1">
      <c r="A5" s="8"/>
      <c r="B5" s="8"/>
      <c r="C5" s="8"/>
      <c r="D5" s="8"/>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row>
    <row r="6" spans="1:30" ht="13.5" thickBot="1">
      <c r="A6" s="1289" t="s">
        <v>144</v>
      </c>
      <c r="B6" s="1290"/>
      <c r="C6" s="1290"/>
      <c r="D6" s="1291"/>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row>
    <row r="7" spans="1:30" ht="13.5" thickBot="1">
      <c r="A7" s="185" t="s">
        <v>217</v>
      </c>
      <c r="B7" s="185" t="s">
        <v>218</v>
      </c>
      <c r="C7" s="185" t="s">
        <v>219</v>
      </c>
      <c r="D7" s="185" t="s">
        <v>159</v>
      </c>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row>
    <row r="8" spans="1:30">
      <c r="A8" s="246" t="s">
        <v>335</v>
      </c>
      <c r="B8" s="246" t="s">
        <v>341</v>
      </c>
      <c r="C8" s="167">
        <v>453.6</v>
      </c>
      <c r="D8" s="247" t="s">
        <v>342</v>
      </c>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row>
    <row r="9" spans="1:30">
      <c r="A9" s="246" t="s">
        <v>335</v>
      </c>
      <c r="B9" s="246" t="s">
        <v>338</v>
      </c>
      <c r="C9" s="167">
        <v>0.4536</v>
      </c>
      <c r="D9" s="247" t="s">
        <v>343</v>
      </c>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row>
    <row r="10" spans="1:30">
      <c r="A10" s="246" t="s">
        <v>335</v>
      </c>
      <c r="B10" s="247" t="s">
        <v>337</v>
      </c>
      <c r="C10" s="167">
        <v>4.5360000000000002E-4</v>
      </c>
      <c r="D10" s="247" t="s">
        <v>344</v>
      </c>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row>
    <row r="11" spans="1:30">
      <c r="A11" s="244" t="s">
        <v>338</v>
      </c>
      <c r="B11" s="246" t="s">
        <v>335</v>
      </c>
      <c r="C11" s="134">
        <v>2.2050000000000001</v>
      </c>
      <c r="D11" s="247" t="s">
        <v>340</v>
      </c>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row>
    <row r="12" spans="1:30">
      <c r="A12" s="246" t="s">
        <v>341</v>
      </c>
      <c r="B12" s="244" t="s">
        <v>243</v>
      </c>
      <c r="C12" s="726">
        <f>C13/1000</f>
        <v>1.1020000000000002E-6</v>
      </c>
      <c r="D12" s="718" t="s">
        <v>1190</v>
      </c>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row>
    <row r="13" spans="1:30">
      <c r="A13" s="246" t="s">
        <v>338</v>
      </c>
      <c r="B13" s="244" t="s">
        <v>243</v>
      </c>
      <c r="C13" s="727">
        <f>C14/1000</f>
        <v>1.1020000000000001E-3</v>
      </c>
      <c r="D13" s="719" t="s">
        <v>1191</v>
      </c>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row>
    <row r="14" spans="1:30">
      <c r="A14" s="247" t="s">
        <v>337</v>
      </c>
      <c r="B14" s="244" t="s">
        <v>243</v>
      </c>
      <c r="C14" s="722">
        <v>1.1020000000000001</v>
      </c>
      <c r="D14" s="718" t="s">
        <v>346</v>
      </c>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row>
    <row r="15" spans="1:30">
      <c r="A15" s="246" t="s">
        <v>335</v>
      </c>
      <c r="B15" s="244" t="s">
        <v>243</v>
      </c>
      <c r="C15" s="720">
        <f>1/2000</f>
        <v>5.0000000000000001E-4</v>
      </c>
      <c r="D15" s="718" t="s">
        <v>1192</v>
      </c>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row>
    <row r="16" spans="1:30">
      <c r="A16" s="244" t="s">
        <v>243</v>
      </c>
      <c r="B16" s="244" t="s">
        <v>243</v>
      </c>
      <c r="C16" s="721">
        <v>1</v>
      </c>
      <c r="D16" s="718" t="s">
        <v>1189</v>
      </c>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row>
    <row r="17" spans="1:30">
      <c r="A17" s="244" t="s">
        <v>337</v>
      </c>
      <c r="B17" s="246" t="s">
        <v>335</v>
      </c>
      <c r="C17" s="165">
        <v>2205</v>
      </c>
      <c r="D17" s="247" t="s">
        <v>339</v>
      </c>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row>
    <row r="18" spans="1:30">
      <c r="A18" s="244" t="s">
        <v>337</v>
      </c>
      <c r="B18" s="246" t="s">
        <v>338</v>
      </c>
      <c r="C18" s="165">
        <v>1000</v>
      </c>
      <c r="D18" s="247" t="s">
        <v>345</v>
      </c>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row>
    <row r="19" spans="1:30" ht="13.5" thickBot="1">
      <c r="A19" s="8"/>
      <c r="B19" s="135"/>
      <c r="C19" s="135"/>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row>
    <row r="20" spans="1:30" ht="13.5" thickBot="1">
      <c r="A20" s="1289" t="s">
        <v>145</v>
      </c>
      <c r="B20" s="1290"/>
      <c r="C20" s="1290"/>
      <c r="D20" s="1291"/>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row>
    <row r="21" spans="1:30" ht="13.5" thickBot="1">
      <c r="A21" s="184" t="s">
        <v>217</v>
      </c>
      <c r="B21" s="185" t="s">
        <v>218</v>
      </c>
      <c r="C21" s="185" t="s">
        <v>219</v>
      </c>
      <c r="D21" s="185" t="s">
        <v>159</v>
      </c>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row>
    <row r="22" spans="1:30">
      <c r="A22" s="151" t="s">
        <v>347</v>
      </c>
      <c r="B22" s="204" t="s">
        <v>355</v>
      </c>
      <c r="C22" s="167">
        <v>7.4805000000000001</v>
      </c>
      <c r="D22" s="204" t="s">
        <v>351</v>
      </c>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row>
    <row r="23" spans="1:30">
      <c r="A23" s="152" t="s">
        <v>347</v>
      </c>
      <c r="B23" s="188" t="s">
        <v>349</v>
      </c>
      <c r="C23" s="134">
        <v>0.17810000000000001</v>
      </c>
      <c r="D23" s="188" t="s">
        <v>352</v>
      </c>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row>
    <row r="24" spans="1:30">
      <c r="A24" s="152" t="s">
        <v>347</v>
      </c>
      <c r="B24" s="188" t="s">
        <v>350</v>
      </c>
      <c r="C24" s="134">
        <v>28.32</v>
      </c>
      <c r="D24" s="188" t="s">
        <v>353</v>
      </c>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row>
    <row r="25" spans="1:30">
      <c r="A25" s="152" t="s">
        <v>347</v>
      </c>
      <c r="B25" s="188" t="s">
        <v>356</v>
      </c>
      <c r="C25" s="134">
        <v>2.8320000000000001E-2</v>
      </c>
      <c r="D25" s="188" t="s">
        <v>354</v>
      </c>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row>
    <row r="26" spans="1:30">
      <c r="A26" s="188" t="s">
        <v>355</v>
      </c>
      <c r="B26" s="188" t="s">
        <v>349</v>
      </c>
      <c r="C26" s="134">
        <v>2.3800000000000002E-2</v>
      </c>
      <c r="D26" s="188" t="s">
        <v>357</v>
      </c>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row>
    <row r="27" spans="1:30">
      <c r="A27" s="188" t="s">
        <v>355</v>
      </c>
      <c r="B27" s="188" t="s">
        <v>350</v>
      </c>
      <c r="C27" s="134">
        <v>3.7850000000000001</v>
      </c>
      <c r="D27" s="188" t="s">
        <v>358</v>
      </c>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row>
    <row r="28" spans="1:30">
      <c r="A28" s="188" t="s">
        <v>355</v>
      </c>
      <c r="B28" s="188" t="s">
        <v>356</v>
      </c>
      <c r="C28" s="134">
        <v>3.7850000000000002E-3</v>
      </c>
      <c r="D28" s="188" t="s">
        <v>359</v>
      </c>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row>
    <row r="29" spans="1:30">
      <c r="A29" s="188" t="s">
        <v>349</v>
      </c>
      <c r="B29" s="188" t="s">
        <v>348</v>
      </c>
      <c r="C29" s="134">
        <v>42</v>
      </c>
      <c r="D29" s="188" t="s">
        <v>360</v>
      </c>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row>
    <row r="30" spans="1:30">
      <c r="A30" s="188" t="s">
        <v>349</v>
      </c>
      <c r="B30" s="188" t="s">
        <v>350</v>
      </c>
      <c r="C30" s="134">
        <v>158.99</v>
      </c>
      <c r="D30" s="188" t="s">
        <v>361</v>
      </c>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row>
    <row r="31" spans="1:30">
      <c r="A31" s="188" t="s">
        <v>349</v>
      </c>
      <c r="B31" s="188" t="s">
        <v>356</v>
      </c>
      <c r="C31" s="134">
        <v>0.15890000000000001</v>
      </c>
      <c r="D31" s="188" t="s">
        <v>362</v>
      </c>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row>
    <row r="32" spans="1:30">
      <c r="A32" s="188" t="s">
        <v>350</v>
      </c>
      <c r="B32" s="188" t="s">
        <v>356</v>
      </c>
      <c r="C32" s="134">
        <v>1E-3</v>
      </c>
      <c r="D32" s="188" t="s">
        <v>363</v>
      </c>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row>
    <row r="33" spans="1:30">
      <c r="A33" s="188" t="s">
        <v>350</v>
      </c>
      <c r="B33" s="188" t="s">
        <v>355</v>
      </c>
      <c r="C33" s="134">
        <v>0.26419999999999999</v>
      </c>
      <c r="D33" s="188" t="s">
        <v>364</v>
      </c>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row>
    <row r="34" spans="1:30">
      <c r="A34" s="188" t="s">
        <v>356</v>
      </c>
      <c r="B34" s="188" t="s">
        <v>349</v>
      </c>
      <c r="C34" s="134">
        <v>6.2896999999999998</v>
      </c>
      <c r="D34" s="188" t="s">
        <v>365</v>
      </c>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row>
    <row r="35" spans="1:30">
      <c r="A35" s="188" t="s">
        <v>356</v>
      </c>
      <c r="B35" s="188" t="s">
        <v>355</v>
      </c>
      <c r="C35" s="134">
        <v>264.2</v>
      </c>
      <c r="D35" s="188" t="s">
        <v>366</v>
      </c>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row>
    <row r="36" spans="1:30">
      <c r="A36" s="188" t="s">
        <v>356</v>
      </c>
      <c r="B36" s="188" t="s">
        <v>350</v>
      </c>
      <c r="C36" s="165">
        <v>1000</v>
      </c>
      <c r="D36" s="188" t="s">
        <v>367</v>
      </c>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row>
    <row r="37" spans="1:30" ht="13.5" thickBot="1">
      <c r="A37" s="8"/>
      <c r="B37" s="135"/>
      <c r="C37" s="135"/>
      <c r="D37" s="135"/>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row>
    <row r="38" spans="1:30" ht="13.5" thickBot="1">
      <c r="A38" s="1289" t="s">
        <v>146</v>
      </c>
      <c r="B38" s="1290"/>
      <c r="C38" s="1290"/>
      <c r="D38" s="1291"/>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row>
    <row r="39" spans="1:30" ht="13.5" thickBot="1">
      <c r="A39" s="184" t="s">
        <v>217</v>
      </c>
      <c r="B39" s="185" t="s">
        <v>218</v>
      </c>
      <c r="C39" s="185" t="s">
        <v>219</v>
      </c>
      <c r="D39" s="185" t="s">
        <v>159</v>
      </c>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row>
    <row r="40" spans="1:30">
      <c r="A40" s="151" t="s">
        <v>374</v>
      </c>
      <c r="B40" s="204" t="s">
        <v>368</v>
      </c>
      <c r="C40" s="166">
        <v>3412</v>
      </c>
      <c r="D40" s="246" t="s">
        <v>377</v>
      </c>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row>
    <row r="41" spans="1:30">
      <c r="A41" s="151" t="s">
        <v>374</v>
      </c>
      <c r="B41" s="188" t="s">
        <v>369</v>
      </c>
      <c r="C41" s="165">
        <v>3600</v>
      </c>
      <c r="D41" s="244" t="s">
        <v>378</v>
      </c>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row>
    <row r="42" spans="1:30">
      <c r="A42" s="152" t="s">
        <v>375</v>
      </c>
      <c r="B42" s="188" t="s">
        <v>370</v>
      </c>
      <c r="C42" s="134">
        <v>1E-3</v>
      </c>
      <c r="D42" s="244" t="s">
        <v>379</v>
      </c>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row>
    <row r="43" spans="1:30">
      <c r="A43" s="152" t="s">
        <v>376</v>
      </c>
      <c r="B43" s="188" t="s">
        <v>371</v>
      </c>
      <c r="C43" s="134">
        <v>0.94779999999999998</v>
      </c>
      <c r="D43" s="244" t="s">
        <v>380</v>
      </c>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row>
    <row r="44" spans="1:30">
      <c r="A44" s="152" t="s">
        <v>376</v>
      </c>
      <c r="B44" s="188" t="s">
        <v>372</v>
      </c>
      <c r="C44" s="134">
        <v>277.8</v>
      </c>
      <c r="D44" s="244" t="s">
        <v>381</v>
      </c>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row>
    <row r="45" spans="1:30">
      <c r="A45" s="152" t="s">
        <v>368</v>
      </c>
      <c r="B45" s="188" t="s">
        <v>373</v>
      </c>
      <c r="C45" s="165">
        <v>1055</v>
      </c>
      <c r="D45" s="244" t="s">
        <v>382</v>
      </c>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row>
    <row r="46" spans="1:30">
      <c r="A46" s="152" t="s">
        <v>371</v>
      </c>
      <c r="B46" s="188" t="s">
        <v>370</v>
      </c>
      <c r="C46" s="134">
        <v>1.0549999999999999</v>
      </c>
      <c r="D46" s="244" t="s">
        <v>383</v>
      </c>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row>
    <row r="47" spans="1:30">
      <c r="A47" s="152" t="s">
        <v>371</v>
      </c>
      <c r="B47" s="188" t="s">
        <v>372</v>
      </c>
      <c r="C47" s="134">
        <v>293</v>
      </c>
      <c r="D47" s="244" t="s">
        <v>384</v>
      </c>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row>
    <row r="48" spans="1:30">
      <c r="A48" s="152" t="s">
        <v>226</v>
      </c>
      <c r="B48" s="188" t="s">
        <v>368</v>
      </c>
      <c r="C48" s="165">
        <v>100000</v>
      </c>
      <c r="D48" s="245" t="s">
        <v>385</v>
      </c>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row>
    <row r="49" spans="1:30">
      <c r="A49" s="152" t="s">
        <v>226</v>
      </c>
      <c r="B49" s="188" t="s">
        <v>370</v>
      </c>
      <c r="C49" s="134">
        <v>0.1055</v>
      </c>
      <c r="D49" s="244" t="s">
        <v>386</v>
      </c>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row>
    <row r="50" spans="1:30">
      <c r="A50" s="152" t="s">
        <v>226</v>
      </c>
      <c r="B50" s="188" t="s">
        <v>372</v>
      </c>
      <c r="C50" s="134">
        <v>29.3</v>
      </c>
      <c r="D50" s="244" t="s">
        <v>387</v>
      </c>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row>
    <row r="51" spans="1:30" ht="13.5" thickBot="1">
      <c r="A51" s="8"/>
      <c r="B51" s="135"/>
      <c r="C51" s="135"/>
      <c r="D51" s="135"/>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row>
    <row r="52" spans="1:30" ht="13.5" thickBot="1">
      <c r="A52" s="1289" t="s">
        <v>147</v>
      </c>
      <c r="B52" s="1290"/>
      <c r="C52" s="1290"/>
      <c r="D52" s="1291"/>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row>
    <row r="53" spans="1:30">
      <c r="A53" s="271" t="s">
        <v>217</v>
      </c>
      <c r="B53" s="270" t="s">
        <v>218</v>
      </c>
      <c r="C53" s="270" t="s">
        <v>219</v>
      </c>
      <c r="D53" s="943" t="s">
        <v>159</v>
      </c>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row>
    <row r="54" spans="1:30">
      <c r="A54" s="244" t="s">
        <v>388</v>
      </c>
      <c r="B54" s="244" t="s">
        <v>391</v>
      </c>
      <c r="C54" s="134">
        <v>1.609</v>
      </c>
      <c r="D54" s="188" t="s">
        <v>393</v>
      </c>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row>
    <row r="55" spans="1:30">
      <c r="A55" s="244" t="s">
        <v>389</v>
      </c>
      <c r="B55" s="244" t="s">
        <v>390</v>
      </c>
      <c r="C55" s="134">
        <v>1.1499999999999999</v>
      </c>
      <c r="D55" s="188" t="s">
        <v>394</v>
      </c>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row>
    <row r="56" spans="1:30">
      <c r="A56" s="244" t="s">
        <v>392</v>
      </c>
      <c r="B56" s="244" t="s">
        <v>390</v>
      </c>
      <c r="C56" s="134">
        <f>ROUND(1/C54,3)</f>
        <v>0.622</v>
      </c>
      <c r="D56" s="188" t="s">
        <v>395</v>
      </c>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row>
    <row r="57" spans="1:30" ht="13.5" thickBot="1">
      <c r="A57" s="8"/>
      <c r="B57" s="8"/>
      <c r="C57" s="135"/>
      <c r="D57" s="135"/>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row>
    <row r="58" spans="1:30" ht="13.5" thickBot="1">
      <c r="A58" s="272" t="s">
        <v>148</v>
      </c>
      <c r="B58" s="273"/>
      <c r="C58" s="135"/>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row>
    <row r="59" spans="1:30">
      <c r="A59" s="151" t="s">
        <v>149</v>
      </c>
      <c r="B59" s="166">
        <v>1000</v>
      </c>
      <c r="C59" s="135"/>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row>
    <row r="60" spans="1:30">
      <c r="A60" s="152" t="s">
        <v>150</v>
      </c>
      <c r="B60" s="165">
        <v>1000000</v>
      </c>
      <c r="C60" s="135"/>
      <c r="D60" s="183"/>
      <c r="E60" s="183"/>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row>
    <row r="61" spans="1:30">
      <c r="A61" s="152" t="s">
        <v>151</v>
      </c>
      <c r="B61" s="165">
        <v>1000000000</v>
      </c>
      <c r="C61" s="135"/>
      <c r="D61" s="183"/>
      <c r="E61" s="183"/>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row>
    <row r="62" spans="1:30">
      <c r="A62" s="152" t="s">
        <v>152</v>
      </c>
      <c r="B62" s="165">
        <v>1000000000000</v>
      </c>
      <c r="C62" s="135"/>
      <c r="D62" s="183"/>
      <c r="E62" s="183"/>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row>
    <row r="63" spans="1:30">
      <c r="A63" s="152" t="s">
        <v>203</v>
      </c>
      <c r="B63" s="152">
        <v>12</v>
      </c>
      <c r="C63" s="135"/>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row>
    <row r="64" spans="1:30" ht="15.75">
      <c r="A64" s="152" t="s">
        <v>204</v>
      </c>
      <c r="B64" s="152">
        <v>44</v>
      </c>
      <c r="C64" s="135"/>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row>
    <row r="65" spans="1:30">
      <c r="A65" s="8"/>
      <c r="B65" s="8"/>
      <c r="C65" s="8"/>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row>
    <row r="66" spans="1:30">
      <c r="A66" s="183"/>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row>
    <row r="67" spans="1:30">
      <c r="A67" s="183"/>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row>
    <row r="68" spans="1:30">
      <c r="A68" s="183"/>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row>
    <row r="69" spans="1:30">
      <c r="A69" s="183"/>
      <c r="B69" s="183"/>
      <c r="C69" s="183"/>
      <c r="D69" s="183"/>
      <c r="E69" s="183"/>
      <c r="F69" s="183"/>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row>
    <row r="70" spans="1:30">
      <c r="A70" s="183"/>
      <c r="B70" s="183"/>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row>
    <row r="71" spans="1:30">
      <c r="A71" s="183"/>
      <c r="B71" s="183"/>
      <c r="C71" s="183"/>
      <c r="D71" s="183"/>
      <c r="E71" s="183"/>
      <c r="F71" s="183"/>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row>
    <row r="72" spans="1:30">
      <c r="A72" s="183"/>
      <c r="B72" s="183"/>
      <c r="C72" s="183"/>
      <c r="D72" s="183"/>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row>
    <row r="73" spans="1:30">
      <c r="A73" s="183"/>
      <c r="B73" s="183"/>
      <c r="C73" s="183"/>
      <c r="D73" s="183"/>
      <c r="E73" s="183"/>
      <c r="F73" s="183"/>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row>
    <row r="74" spans="1:30">
      <c r="A74" s="183"/>
      <c r="B74" s="183"/>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row>
    <row r="75" spans="1:30">
      <c r="A75" s="183"/>
      <c r="B75" s="183"/>
      <c r="C75" s="183"/>
      <c r="D75" s="183"/>
      <c r="E75" s="183"/>
      <c r="F75" s="183"/>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row>
    <row r="76" spans="1:30">
      <c r="A76" s="183"/>
      <c r="B76" s="183"/>
      <c r="C76" s="183"/>
      <c r="D76" s="183"/>
      <c r="E76" s="183"/>
      <c r="F76" s="183"/>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row>
    <row r="77" spans="1:30">
      <c r="A77" s="183"/>
      <c r="B77" s="183"/>
      <c r="C77" s="183"/>
      <c r="D77" s="183"/>
      <c r="E77" s="183"/>
      <c r="F77" s="183"/>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row>
    <row r="78" spans="1:30">
      <c r="A78" s="183"/>
      <c r="B78" s="183"/>
      <c r="C78" s="183"/>
      <c r="D78" s="183"/>
      <c r="E78" s="183"/>
      <c r="F78" s="183"/>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row>
    <row r="79" spans="1:30">
      <c r="A79" s="183"/>
      <c r="B79" s="183"/>
      <c r="C79" s="183"/>
      <c r="D79" s="183"/>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row>
    <row r="80" spans="1:30">
      <c r="A80" s="183"/>
      <c r="B80" s="183"/>
      <c r="C80" s="183"/>
      <c r="D80" s="183"/>
      <c r="E80" s="183"/>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row>
    <row r="81" spans="1:30">
      <c r="A81" s="183"/>
      <c r="B81" s="183"/>
      <c r="C81" s="183"/>
      <c r="D81" s="183"/>
      <c r="E81" s="183"/>
      <c r="F81" s="183"/>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row>
    <row r="82" spans="1:30">
      <c r="A82" s="183"/>
      <c r="B82" s="183"/>
      <c r="C82" s="183"/>
      <c r="D82" s="183"/>
      <c r="E82" s="183"/>
      <c r="F82" s="183"/>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row>
    <row r="83" spans="1:30">
      <c r="A83" s="183"/>
      <c r="B83" s="183"/>
      <c r="C83" s="183"/>
      <c r="D83" s="183"/>
      <c r="E83" s="183"/>
      <c r="F83" s="183"/>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row>
    <row r="84" spans="1:30">
      <c r="A84" s="183"/>
      <c r="B84" s="183"/>
      <c r="C84" s="183"/>
      <c r="D84" s="183"/>
      <c r="E84" s="183"/>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row>
    <row r="85" spans="1:30">
      <c r="A85" s="183"/>
      <c r="B85" s="183"/>
      <c r="C85" s="183"/>
      <c r="D85" s="183"/>
      <c r="E85" s="183"/>
      <c r="F85" s="183"/>
      <c r="G85" s="183"/>
      <c r="H85" s="183"/>
      <c r="I85" s="183"/>
      <c r="J85" s="183"/>
      <c r="K85" s="183"/>
      <c r="L85" s="183"/>
      <c r="M85" s="183"/>
      <c r="N85" s="183"/>
      <c r="O85" s="183"/>
      <c r="P85" s="183"/>
      <c r="Q85" s="183"/>
      <c r="R85" s="183"/>
      <c r="S85" s="183"/>
      <c r="T85" s="183"/>
      <c r="U85" s="183"/>
      <c r="V85" s="183"/>
      <c r="W85" s="183"/>
      <c r="X85" s="183"/>
      <c r="Y85" s="183"/>
      <c r="Z85" s="183"/>
      <c r="AA85" s="183"/>
      <c r="AB85" s="183"/>
      <c r="AC85" s="183"/>
      <c r="AD85" s="183"/>
    </row>
    <row r="86" spans="1:30">
      <c r="A86" s="183"/>
      <c r="B86" s="183"/>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row>
    <row r="87" spans="1:30">
      <c r="A87" s="183"/>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row>
    <row r="88" spans="1:30">
      <c r="A88" s="183"/>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row>
    <row r="89" spans="1:30">
      <c r="A89" s="183"/>
      <c r="B89" s="183"/>
      <c r="C89" s="183"/>
      <c r="D89" s="183"/>
      <c r="E89" s="183"/>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row>
    <row r="90" spans="1:30">
      <c r="A90" s="183"/>
      <c r="B90" s="183"/>
      <c r="C90" s="183"/>
      <c r="D90" s="183"/>
      <c r="E90" s="183"/>
      <c r="F90" s="183"/>
      <c r="G90" s="183"/>
      <c r="H90" s="183"/>
      <c r="I90" s="183"/>
      <c r="J90" s="183"/>
      <c r="K90" s="183"/>
      <c r="L90" s="183"/>
      <c r="M90" s="183"/>
      <c r="N90" s="183"/>
      <c r="O90" s="183"/>
      <c r="P90" s="183"/>
      <c r="Q90" s="183"/>
      <c r="R90" s="183"/>
      <c r="S90" s="183"/>
      <c r="T90" s="183"/>
      <c r="U90" s="183"/>
      <c r="V90" s="183"/>
      <c r="W90" s="183"/>
      <c r="X90" s="183"/>
      <c r="Y90" s="183"/>
      <c r="Z90" s="183"/>
      <c r="AA90" s="183"/>
      <c r="AB90" s="183"/>
      <c r="AC90" s="183"/>
      <c r="AD90" s="183"/>
    </row>
    <row r="91" spans="1:30">
      <c r="A91" s="183"/>
      <c r="B91" s="183"/>
      <c r="C91" s="183"/>
      <c r="D91" s="183"/>
      <c r="E91" s="183"/>
      <c r="F91" s="183"/>
      <c r="G91" s="183"/>
      <c r="H91" s="183"/>
      <c r="I91" s="183"/>
      <c r="J91" s="183"/>
      <c r="K91" s="183"/>
      <c r="L91" s="183"/>
      <c r="M91" s="183"/>
      <c r="N91" s="183"/>
      <c r="O91" s="183"/>
      <c r="P91" s="183"/>
      <c r="Q91" s="183"/>
      <c r="R91" s="183"/>
      <c r="S91" s="183"/>
      <c r="T91" s="183"/>
      <c r="U91" s="183"/>
      <c r="V91" s="183"/>
      <c r="W91" s="183"/>
      <c r="X91" s="183"/>
      <c r="Y91" s="183"/>
      <c r="Z91" s="183"/>
      <c r="AA91" s="183"/>
      <c r="AB91" s="183"/>
      <c r="AC91" s="183"/>
      <c r="AD91" s="183"/>
    </row>
    <row r="92" spans="1:30">
      <c r="A92" s="183"/>
      <c r="B92" s="183"/>
      <c r="C92" s="183"/>
      <c r="D92" s="183"/>
      <c r="E92" s="183"/>
      <c r="F92" s="183"/>
      <c r="G92" s="183"/>
      <c r="H92" s="183"/>
      <c r="I92" s="183"/>
      <c r="J92" s="183"/>
      <c r="K92" s="183"/>
      <c r="L92" s="183"/>
      <c r="M92" s="183"/>
      <c r="N92" s="183"/>
      <c r="O92" s="183"/>
      <c r="P92" s="183"/>
      <c r="Q92" s="183"/>
      <c r="R92" s="183"/>
      <c r="S92" s="183"/>
      <c r="T92" s="183"/>
      <c r="U92" s="183"/>
      <c r="V92" s="183"/>
      <c r="W92" s="183"/>
      <c r="X92" s="183"/>
      <c r="Y92" s="183"/>
      <c r="Z92" s="183"/>
      <c r="AA92" s="183"/>
      <c r="AB92" s="183"/>
      <c r="AC92" s="183"/>
      <c r="AD92" s="183"/>
    </row>
    <row r="93" spans="1:30">
      <c r="A93" s="183"/>
      <c r="B93" s="183"/>
      <c r="C93" s="183"/>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row>
    <row r="94" spans="1:30">
      <c r="A94" s="183"/>
      <c r="B94" s="183"/>
      <c r="C94" s="183"/>
      <c r="D94" s="183"/>
      <c r="E94" s="183"/>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row>
    <row r="95" spans="1:30">
      <c r="A95" s="183"/>
      <c r="B95" s="183"/>
      <c r="C95" s="183"/>
      <c r="D95" s="183"/>
      <c r="E95" s="183"/>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row>
    <row r="96" spans="1:30">
      <c r="A96" s="183"/>
      <c r="B96" s="183"/>
      <c r="C96" s="183"/>
      <c r="D96" s="183"/>
      <c r="E96" s="183"/>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row>
    <row r="97" spans="1:30">
      <c r="A97" s="183"/>
      <c r="B97" s="183"/>
      <c r="C97" s="183"/>
      <c r="D97" s="183"/>
      <c r="E97" s="183"/>
      <c r="F97" s="183"/>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row>
    <row r="98" spans="1:30">
      <c r="A98" s="183"/>
      <c r="B98" s="183"/>
      <c r="C98" s="183"/>
      <c r="D98" s="183"/>
      <c r="E98" s="183"/>
      <c r="F98" s="183"/>
      <c r="G98" s="183"/>
      <c r="H98" s="183"/>
      <c r="I98" s="183"/>
      <c r="J98" s="183"/>
      <c r="K98" s="183"/>
      <c r="L98" s="183"/>
      <c r="M98" s="183"/>
      <c r="N98" s="183"/>
      <c r="O98" s="183"/>
      <c r="P98" s="183"/>
      <c r="Q98" s="183"/>
      <c r="R98" s="183"/>
      <c r="S98" s="183"/>
      <c r="T98" s="183"/>
      <c r="U98" s="183"/>
      <c r="V98" s="183"/>
      <c r="W98" s="183"/>
      <c r="X98" s="183"/>
      <c r="Y98" s="183"/>
      <c r="Z98" s="183"/>
      <c r="AA98" s="183"/>
      <c r="AB98" s="183"/>
      <c r="AC98" s="183"/>
      <c r="AD98" s="183"/>
    </row>
    <row r="99" spans="1:30">
      <c r="A99" s="183"/>
      <c r="B99" s="183"/>
      <c r="C99" s="183"/>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row>
    <row r="100" spans="1:30">
      <c r="A100" s="183"/>
      <c r="B100" s="183"/>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row>
    <row r="101" spans="1:30">
      <c r="A101" s="183"/>
      <c r="B101" s="183"/>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c r="AC101" s="183"/>
      <c r="AD101" s="183"/>
    </row>
    <row r="102" spans="1:30">
      <c r="A102" s="183"/>
      <c r="B102" s="183"/>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row>
    <row r="103" spans="1:30">
      <c r="A103" s="183"/>
      <c r="B103" s="183"/>
      <c r="C103" s="183"/>
      <c r="D103" s="18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c r="AA103" s="183"/>
      <c r="AB103" s="183"/>
      <c r="AC103" s="183"/>
      <c r="AD103" s="183"/>
    </row>
    <row r="104" spans="1:30">
      <c r="A104" s="183"/>
      <c r="B104" s="183"/>
      <c r="C104" s="183"/>
      <c r="D104" s="183"/>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183"/>
      <c r="AA104" s="183"/>
      <c r="AB104" s="183"/>
      <c r="AC104" s="183"/>
      <c r="AD104" s="183"/>
    </row>
    <row r="105" spans="1:30">
      <c r="A105" s="183"/>
      <c r="B105" s="183"/>
      <c r="C105" s="183"/>
      <c r="D105" s="18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c r="AA105" s="183"/>
      <c r="AB105" s="183"/>
      <c r="AC105" s="183"/>
      <c r="AD105" s="183"/>
    </row>
    <row r="106" spans="1:30">
      <c r="A106" s="183"/>
      <c r="B106" s="183"/>
      <c r="C106" s="183"/>
      <c r="D106" s="18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183"/>
    </row>
    <row r="107" spans="1:30">
      <c r="A107" s="183"/>
      <c r="B107" s="183"/>
      <c r="C107" s="183"/>
      <c r="D107" s="18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c r="AA107" s="183"/>
      <c r="AB107" s="183"/>
      <c r="AC107" s="183"/>
      <c r="AD107" s="183"/>
    </row>
    <row r="108" spans="1:30">
      <c r="A108" s="183"/>
      <c r="B108" s="183"/>
      <c r="C108" s="183"/>
      <c r="D108" s="183"/>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183"/>
      <c r="AA108" s="183"/>
      <c r="AB108" s="183"/>
      <c r="AC108" s="183"/>
      <c r="AD108" s="183"/>
    </row>
    <row r="109" spans="1:30">
      <c r="A109" s="183"/>
      <c r="B109" s="183"/>
      <c r="C109" s="183"/>
      <c r="D109" s="18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c r="AA109" s="183"/>
      <c r="AB109" s="183"/>
      <c r="AC109" s="183"/>
      <c r="AD109" s="183"/>
    </row>
    <row r="110" spans="1:30">
      <c r="A110" s="183"/>
      <c r="B110" s="183"/>
      <c r="C110" s="183"/>
      <c r="D110" s="18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c r="AA110" s="183"/>
      <c r="AB110" s="183"/>
      <c r="AC110" s="183"/>
      <c r="AD110" s="183"/>
    </row>
    <row r="111" spans="1:30">
      <c r="A111" s="183"/>
      <c r="B111" s="183"/>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c r="AA111" s="183"/>
      <c r="AB111" s="183"/>
      <c r="AC111" s="183"/>
      <c r="AD111" s="183"/>
    </row>
    <row r="112" spans="1:30">
      <c r="A112" s="183"/>
      <c r="B112" s="183"/>
      <c r="C112" s="183"/>
      <c r="D112" s="183"/>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183"/>
      <c r="AA112" s="183"/>
      <c r="AB112" s="183"/>
      <c r="AC112" s="183"/>
      <c r="AD112" s="183"/>
    </row>
    <row r="113" spans="1:30">
      <c r="A113" s="183"/>
      <c r="B113" s="183"/>
      <c r="C113" s="183"/>
      <c r="D113" s="183"/>
      <c r="E113" s="183"/>
      <c r="F113" s="183"/>
      <c r="G113" s="183"/>
      <c r="H113" s="183"/>
      <c r="I113" s="183"/>
      <c r="J113" s="183"/>
      <c r="K113" s="183"/>
      <c r="L113" s="183"/>
      <c r="M113" s="183"/>
      <c r="N113" s="183"/>
      <c r="O113" s="183"/>
      <c r="P113" s="183"/>
      <c r="Q113" s="183"/>
      <c r="R113" s="183"/>
      <c r="S113" s="183"/>
      <c r="T113" s="183"/>
      <c r="U113" s="183"/>
      <c r="V113" s="183"/>
      <c r="W113" s="183"/>
      <c r="X113" s="183"/>
      <c r="Y113" s="183"/>
      <c r="Z113" s="183"/>
      <c r="AA113" s="183"/>
      <c r="AB113" s="183"/>
      <c r="AC113" s="183"/>
      <c r="AD113" s="183"/>
    </row>
    <row r="114" spans="1:30">
      <c r="A114" s="183"/>
      <c r="B114" s="183"/>
      <c r="C114" s="183"/>
      <c r="D114" s="183"/>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183"/>
      <c r="AA114" s="183"/>
      <c r="AB114" s="183"/>
      <c r="AC114" s="183"/>
      <c r="AD114" s="183"/>
    </row>
    <row r="115" spans="1:30">
      <c r="A115" s="183"/>
      <c r="B115" s="183"/>
      <c r="C115" s="183"/>
      <c r="D115" s="18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c r="AA115" s="183"/>
      <c r="AB115" s="183"/>
      <c r="AC115" s="183"/>
      <c r="AD115" s="183"/>
    </row>
    <row r="116" spans="1:30">
      <c r="A116" s="183"/>
      <c r="B116" s="183"/>
      <c r="C116" s="183"/>
      <c r="D116" s="183"/>
      <c r="E116" s="183"/>
      <c r="F116" s="183"/>
      <c r="G116" s="183"/>
      <c r="H116" s="183"/>
      <c r="I116" s="183"/>
      <c r="J116" s="183"/>
      <c r="K116" s="183"/>
      <c r="L116" s="183"/>
      <c r="M116" s="183"/>
      <c r="N116" s="183"/>
      <c r="O116" s="183"/>
      <c r="P116" s="183"/>
      <c r="Q116" s="183"/>
      <c r="R116" s="183"/>
      <c r="S116" s="183"/>
      <c r="T116" s="183"/>
      <c r="U116" s="183"/>
      <c r="V116" s="183"/>
      <c r="W116" s="183"/>
      <c r="X116" s="183"/>
      <c r="Y116" s="183"/>
      <c r="Z116" s="183"/>
      <c r="AA116" s="183"/>
      <c r="AB116" s="183"/>
      <c r="AC116" s="183"/>
      <c r="AD116" s="183"/>
    </row>
    <row r="117" spans="1:30">
      <c r="A117" s="183"/>
      <c r="B117" s="183"/>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c r="AA117" s="183"/>
      <c r="AB117" s="183"/>
      <c r="AC117" s="183"/>
      <c r="AD117" s="183"/>
    </row>
    <row r="118" spans="1:30">
      <c r="A118" s="183"/>
      <c r="B118" s="183"/>
      <c r="C118" s="183"/>
      <c r="D118" s="183"/>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183"/>
      <c r="AA118" s="183"/>
      <c r="AB118" s="183"/>
      <c r="AC118" s="183"/>
      <c r="AD118" s="183"/>
    </row>
    <row r="119" spans="1:30">
      <c r="A119" s="183"/>
      <c r="B119" s="183"/>
      <c r="C119" s="183"/>
      <c r="D119" s="183"/>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183"/>
      <c r="AA119" s="183"/>
      <c r="AB119" s="183"/>
      <c r="AC119" s="183"/>
      <c r="AD119" s="183"/>
    </row>
    <row r="120" spans="1:30">
      <c r="A120" s="183"/>
      <c r="B120" s="183"/>
      <c r="C120" s="183"/>
      <c r="D120" s="183"/>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183"/>
      <c r="AA120" s="183"/>
      <c r="AB120" s="183"/>
      <c r="AC120" s="183"/>
      <c r="AD120" s="183"/>
    </row>
    <row r="121" spans="1:30">
      <c r="A121" s="183"/>
      <c r="B121" s="183"/>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c r="AA121" s="183"/>
      <c r="AB121" s="183"/>
      <c r="AC121" s="183"/>
      <c r="AD121" s="183"/>
    </row>
    <row r="122" spans="1:30">
      <c r="A122" s="183"/>
      <c r="B122" s="183"/>
      <c r="C122" s="183"/>
      <c r="D122" s="183"/>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183"/>
      <c r="AA122" s="183"/>
      <c r="AB122" s="183"/>
      <c r="AC122" s="183"/>
      <c r="AD122" s="183"/>
    </row>
    <row r="123" spans="1:30">
      <c r="A123" s="183"/>
      <c r="B123" s="183"/>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c r="AA123" s="183"/>
      <c r="AB123" s="183"/>
      <c r="AC123" s="183"/>
      <c r="AD123" s="183"/>
    </row>
    <row r="124" spans="1:30">
      <c r="A124" s="183"/>
      <c r="B124" s="183"/>
      <c r="C124" s="183"/>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row>
    <row r="125" spans="1:30">
      <c r="A125" s="183"/>
      <c r="B125" s="183"/>
      <c r="C125" s="183"/>
      <c r="D125" s="18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c r="AA125" s="183"/>
      <c r="AB125" s="183"/>
      <c r="AC125" s="183"/>
      <c r="AD125" s="183"/>
    </row>
    <row r="126" spans="1:30">
      <c r="A126" s="183"/>
      <c r="B126" s="183"/>
      <c r="C126" s="183"/>
      <c r="D126" s="18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c r="AA126" s="183"/>
      <c r="AB126" s="183"/>
      <c r="AC126" s="183"/>
      <c r="AD126" s="183"/>
    </row>
    <row r="127" spans="1:30">
      <c r="A127" s="183"/>
      <c r="B127" s="183"/>
      <c r="C127" s="183"/>
      <c r="D127" s="18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c r="AA127" s="183"/>
      <c r="AB127" s="183"/>
      <c r="AC127" s="183"/>
      <c r="AD127" s="183"/>
    </row>
    <row r="128" spans="1:30">
      <c r="A128" s="183"/>
      <c r="B128" s="183"/>
      <c r="C128" s="183"/>
      <c r="D128" s="183"/>
      <c r="E128" s="183"/>
      <c r="F128" s="183"/>
      <c r="G128" s="183"/>
      <c r="H128" s="183"/>
      <c r="I128" s="183"/>
      <c r="J128" s="183"/>
      <c r="K128" s="183"/>
      <c r="L128" s="183"/>
      <c r="M128" s="183"/>
      <c r="N128" s="183"/>
      <c r="O128" s="183"/>
      <c r="P128" s="183"/>
      <c r="Q128" s="183"/>
      <c r="R128" s="183"/>
      <c r="S128" s="183"/>
      <c r="T128" s="183"/>
      <c r="U128" s="183"/>
      <c r="V128" s="183"/>
      <c r="W128" s="183"/>
      <c r="X128" s="183"/>
      <c r="Y128" s="183"/>
      <c r="Z128" s="183"/>
      <c r="AA128" s="183"/>
      <c r="AB128" s="183"/>
      <c r="AC128" s="183"/>
      <c r="AD128" s="183"/>
    </row>
    <row r="129" spans="1:30">
      <c r="A129" s="183"/>
      <c r="B129" s="183"/>
      <c r="C129" s="183"/>
      <c r="D129" s="18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c r="AA129" s="183"/>
      <c r="AB129" s="183"/>
      <c r="AC129" s="183"/>
      <c r="AD129" s="183"/>
    </row>
    <row r="130" spans="1:30">
      <c r="A130" s="183"/>
      <c r="B130" s="183"/>
      <c r="C130" s="183"/>
      <c r="D130" s="183"/>
      <c r="E130" s="183"/>
      <c r="F130" s="183"/>
      <c r="G130" s="183"/>
      <c r="H130" s="183"/>
      <c r="I130" s="183"/>
      <c r="J130" s="183"/>
      <c r="K130" s="183"/>
      <c r="L130" s="183"/>
      <c r="M130" s="183"/>
      <c r="N130" s="183"/>
      <c r="O130" s="183"/>
      <c r="P130" s="183"/>
      <c r="Q130" s="183"/>
      <c r="R130" s="183"/>
      <c r="S130" s="183"/>
      <c r="T130" s="183"/>
      <c r="U130" s="183"/>
      <c r="V130" s="183"/>
      <c r="W130" s="183"/>
      <c r="X130" s="183"/>
      <c r="Y130" s="183"/>
      <c r="Z130" s="183"/>
      <c r="AA130" s="183"/>
      <c r="AB130" s="183"/>
      <c r="AC130" s="183"/>
      <c r="AD130" s="183"/>
    </row>
    <row r="131" spans="1:30">
      <c r="A131" s="183"/>
      <c r="B131" s="183"/>
      <c r="C131" s="183"/>
      <c r="D131" s="183"/>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c r="AA131" s="183"/>
      <c r="AB131" s="183"/>
      <c r="AC131" s="183"/>
      <c r="AD131" s="183"/>
    </row>
    <row r="132" spans="1:30">
      <c r="A132" s="183"/>
      <c r="B132" s="183"/>
      <c r="C132" s="183"/>
      <c r="D132" s="183"/>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c r="AA132" s="183"/>
      <c r="AB132" s="183"/>
      <c r="AC132" s="183"/>
      <c r="AD132" s="183"/>
    </row>
    <row r="133" spans="1:30">
      <c r="A133" s="183"/>
      <c r="B133" s="183"/>
      <c r="C133" s="183"/>
      <c r="D133" s="183"/>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c r="AA133" s="183"/>
      <c r="AB133" s="183"/>
      <c r="AC133" s="183"/>
      <c r="AD133" s="183"/>
    </row>
    <row r="134" spans="1:30">
      <c r="A134" s="183"/>
      <c r="B134" s="183"/>
      <c r="C134" s="183"/>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c r="AA134" s="183"/>
      <c r="AB134" s="183"/>
      <c r="AC134" s="183"/>
      <c r="AD134" s="183"/>
    </row>
    <row r="135" spans="1:30">
      <c r="A135" s="183"/>
      <c r="B135" s="183"/>
      <c r="C135" s="183"/>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c r="AA135" s="183"/>
      <c r="AB135" s="183"/>
      <c r="AC135" s="183"/>
      <c r="AD135" s="183"/>
    </row>
    <row r="136" spans="1:30">
      <c r="A136" s="183"/>
      <c r="B136" s="183"/>
      <c r="C136" s="183"/>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c r="AA136" s="183"/>
      <c r="AB136" s="183"/>
      <c r="AC136" s="183"/>
      <c r="AD136" s="183"/>
    </row>
    <row r="137" spans="1:30">
      <c r="A137" s="183"/>
      <c r="B137" s="183"/>
      <c r="C137" s="183"/>
      <c r="D137" s="183"/>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row>
    <row r="138" spans="1:30">
      <c r="A138" s="183"/>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row>
    <row r="139" spans="1:30">
      <c r="A139" s="183"/>
      <c r="B139" s="183"/>
      <c r="C139" s="183"/>
      <c r="D139" s="183"/>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183"/>
      <c r="AA139" s="183"/>
      <c r="AB139" s="183"/>
      <c r="AC139" s="183"/>
      <c r="AD139" s="183"/>
    </row>
    <row r="140" spans="1:30">
      <c r="A140" s="183"/>
      <c r="B140" s="183"/>
      <c r="C140" s="183"/>
      <c r="D140" s="18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c r="AA140" s="183"/>
      <c r="AB140" s="183"/>
      <c r="AC140" s="183"/>
      <c r="AD140" s="183"/>
    </row>
    <row r="141" spans="1:30">
      <c r="A141" s="183"/>
      <c r="B141" s="183"/>
      <c r="C141" s="183"/>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c r="AB141" s="183"/>
      <c r="AC141" s="183"/>
      <c r="AD141" s="183"/>
    </row>
    <row r="142" spans="1:30">
      <c r="A142" s="183"/>
      <c r="B142" s="183"/>
      <c r="C142" s="183"/>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c r="AA142" s="183"/>
      <c r="AB142" s="183"/>
      <c r="AC142" s="183"/>
      <c r="AD142" s="183"/>
    </row>
    <row r="143" spans="1:30">
      <c r="A143" s="183"/>
      <c r="B143" s="183"/>
      <c r="C143" s="183"/>
      <c r="D143" s="18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c r="AA143" s="183"/>
      <c r="AB143" s="183"/>
      <c r="AC143" s="183"/>
      <c r="AD143" s="183"/>
    </row>
    <row r="144" spans="1:30">
      <c r="A144" s="183"/>
      <c r="B144" s="183"/>
      <c r="C144" s="183"/>
      <c r="D144" s="18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c r="AA144" s="183"/>
      <c r="AB144" s="183"/>
      <c r="AC144" s="183"/>
      <c r="AD144" s="183"/>
    </row>
    <row r="145" spans="1:30">
      <c r="A145" s="183"/>
      <c r="B145" s="183"/>
      <c r="C145" s="183"/>
      <c r="D145" s="183"/>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c r="AA145" s="183"/>
      <c r="AB145" s="183"/>
      <c r="AC145" s="183"/>
      <c r="AD145" s="183"/>
    </row>
    <row r="146" spans="1:30">
      <c r="A146" s="183"/>
      <c r="B146" s="183"/>
      <c r="C146" s="183"/>
      <c r="D146" s="183"/>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183"/>
      <c r="AA146" s="183"/>
      <c r="AB146" s="183"/>
      <c r="AC146" s="183"/>
      <c r="AD146" s="183"/>
    </row>
    <row r="147" spans="1:30">
      <c r="A147" s="183"/>
      <c r="B147" s="183"/>
      <c r="C147" s="183"/>
      <c r="D147" s="183"/>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183"/>
      <c r="AA147" s="183"/>
      <c r="AB147" s="183"/>
      <c r="AC147" s="183"/>
      <c r="AD147" s="183"/>
    </row>
    <row r="148" spans="1:30">
      <c r="A148" s="183"/>
      <c r="B148" s="183"/>
      <c r="C148" s="183"/>
      <c r="D148" s="183"/>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183"/>
      <c r="AA148" s="183"/>
      <c r="AB148" s="183"/>
      <c r="AC148" s="183"/>
      <c r="AD148" s="183"/>
    </row>
    <row r="149" spans="1:30">
      <c r="A149" s="183"/>
      <c r="B149" s="183"/>
      <c r="C149" s="183"/>
      <c r="D149" s="183"/>
      <c r="E149" s="183"/>
      <c r="F149" s="183"/>
      <c r="G149" s="183"/>
      <c r="H149" s="183"/>
      <c r="I149" s="183"/>
      <c r="J149" s="183"/>
      <c r="K149" s="183"/>
      <c r="L149" s="183"/>
      <c r="M149" s="183"/>
      <c r="N149" s="183"/>
      <c r="O149" s="183"/>
      <c r="P149" s="183"/>
      <c r="Q149" s="183"/>
      <c r="R149" s="183"/>
      <c r="S149" s="183"/>
      <c r="T149" s="183"/>
      <c r="U149" s="183"/>
      <c r="V149" s="183"/>
      <c r="W149" s="183"/>
      <c r="X149" s="183"/>
      <c r="Y149" s="183"/>
      <c r="Z149" s="183"/>
      <c r="AA149" s="183"/>
      <c r="AB149" s="183"/>
      <c r="AC149" s="183"/>
      <c r="AD149" s="183"/>
    </row>
    <row r="150" spans="1:30">
      <c r="A150" s="183"/>
      <c r="B150" s="183"/>
      <c r="C150" s="183"/>
      <c r="D150" s="183"/>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183"/>
      <c r="AA150" s="183"/>
      <c r="AB150" s="183"/>
      <c r="AC150" s="183"/>
      <c r="AD150" s="183"/>
    </row>
    <row r="151" spans="1:30">
      <c r="A151" s="183"/>
      <c r="B151" s="183"/>
      <c r="C151" s="183"/>
      <c r="D151" s="18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c r="AA151" s="183"/>
      <c r="AB151" s="183"/>
      <c r="AC151" s="183"/>
      <c r="AD151" s="183"/>
    </row>
    <row r="152" spans="1:30">
      <c r="A152" s="183"/>
      <c r="B152" s="183"/>
      <c r="C152" s="183"/>
      <c r="D152" s="18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c r="AA152" s="183"/>
      <c r="AB152" s="183"/>
      <c r="AC152" s="183"/>
      <c r="AD152" s="183"/>
    </row>
    <row r="153" spans="1:30">
      <c r="A153" s="183"/>
      <c r="B153" s="183"/>
      <c r="C153" s="183"/>
      <c r="D153" s="18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c r="AA153" s="183"/>
      <c r="AB153" s="183"/>
      <c r="AC153" s="183"/>
      <c r="AD153" s="183"/>
    </row>
    <row r="154" spans="1:30">
      <c r="A154" s="183"/>
      <c r="B154" s="183"/>
      <c r="C154" s="183"/>
      <c r="D154" s="183"/>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183"/>
      <c r="AA154" s="183"/>
      <c r="AB154" s="183"/>
      <c r="AC154" s="183"/>
      <c r="AD154" s="183"/>
    </row>
    <row r="155" spans="1:30">
      <c r="A155" s="183"/>
      <c r="B155" s="183"/>
      <c r="C155" s="183"/>
      <c r="D155" s="183"/>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c r="AA155" s="183"/>
      <c r="AB155" s="183"/>
      <c r="AC155" s="183"/>
      <c r="AD155" s="183"/>
    </row>
    <row r="156" spans="1:30">
      <c r="A156" s="183"/>
      <c r="B156" s="183"/>
      <c r="C156" s="183"/>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c r="AA156" s="183"/>
      <c r="AB156" s="183"/>
      <c r="AC156" s="183"/>
      <c r="AD156" s="183"/>
    </row>
    <row r="157" spans="1:30">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row>
    <row r="158" spans="1:30">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row>
    <row r="159" spans="1:30">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row>
    <row r="160" spans="1:30">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row>
    <row r="161" spans="1:30">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row>
    <row r="162" spans="1:30">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row>
    <row r="163" spans="1:30">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row>
    <row r="164" spans="1:30">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row>
    <row r="165" spans="1:30">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row>
    <row r="166" spans="1:30">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row>
    <row r="167" spans="1:30">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row>
    <row r="168" spans="1:30">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row>
    <row r="169" spans="1:30">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row>
    <row r="170" spans="1:30">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row>
    <row r="171" spans="1:30">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row>
    <row r="172" spans="1:30">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row>
    <row r="173" spans="1:30">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row>
    <row r="174" spans="1:30">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row>
    <row r="175" spans="1:30">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row>
    <row r="176" spans="1:30">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row>
    <row r="177" spans="1:30">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row>
    <row r="178" spans="1:30">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row>
    <row r="179" spans="1:30">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row>
    <row r="180" spans="1:30">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row>
    <row r="181" spans="1:30">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row>
    <row r="182" spans="1:30">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row>
    <row r="183" spans="1:30">
      <c r="A183" s="183"/>
      <c r="B183" s="183"/>
      <c r="C183" s="183"/>
      <c r="D183" s="18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183"/>
      <c r="AB183" s="183"/>
      <c r="AC183" s="183"/>
      <c r="AD183" s="183"/>
    </row>
    <row r="184" spans="1:30">
      <c r="A184" s="183"/>
      <c r="B184" s="183"/>
      <c r="C184" s="183"/>
      <c r="D184" s="18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c r="AA184" s="183"/>
      <c r="AB184" s="183"/>
      <c r="AC184" s="183"/>
      <c r="AD184" s="183"/>
    </row>
    <row r="185" spans="1:30">
      <c r="A185" s="183"/>
      <c r="B185" s="183"/>
      <c r="C185" s="183"/>
      <c r="D185" s="18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c r="AA185" s="183"/>
      <c r="AB185" s="183"/>
      <c r="AC185" s="183"/>
      <c r="AD185" s="183"/>
    </row>
    <row r="186" spans="1:30">
      <c r="A186" s="183"/>
      <c r="B186" s="183"/>
      <c r="C186" s="183"/>
      <c r="D186" s="18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c r="AA186" s="183"/>
      <c r="AB186" s="183"/>
      <c r="AC186" s="183"/>
      <c r="AD186" s="183"/>
    </row>
    <row r="187" spans="1:30">
      <c r="A187" s="183"/>
      <c r="B187" s="183"/>
      <c r="C187" s="183"/>
      <c r="D187" s="183"/>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183"/>
      <c r="AA187" s="183"/>
      <c r="AB187" s="183"/>
      <c r="AC187" s="183"/>
      <c r="AD187" s="183"/>
    </row>
    <row r="188" spans="1:30">
      <c r="A188" s="183"/>
      <c r="B188" s="183"/>
      <c r="C188" s="183"/>
      <c r="D188" s="18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c r="AA188" s="183"/>
      <c r="AB188" s="183"/>
      <c r="AC188" s="183"/>
      <c r="AD188" s="183"/>
    </row>
    <row r="189" spans="1:30">
      <c r="A189" s="183"/>
      <c r="B189" s="183"/>
      <c r="C189" s="183"/>
      <c r="D189" s="183"/>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183"/>
      <c r="AA189" s="183"/>
      <c r="AB189" s="183"/>
      <c r="AC189" s="183"/>
      <c r="AD189" s="183"/>
    </row>
    <row r="190" spans="1:30">
      <c r="A190" s="183"/>
      <c r="B190" s="183"/>
      <c r="C190" s="183"/>
      <c r="D190" s="183"/>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183"/>
      <c r="AA190" s="183"/>
      <c r="AB190" s="183"/>
      <c r="AC190" s="183"/>
      <c r="AD190" s="183"/>
    </row>
    <row r="191" spans="1:30">
      <c r="A191" s="183"/>
      <c r="B191" s="183"/>
      <c r="C191" s="183"/>
      <c r="D191" s="183"/>
      <c r="E191" s="183"/>
      <c r="F191" s="183"/>
      <c r="G191" s="183"/>
      <c r="H191" s="183"/>
      <c r="I191" s="183"/>
      <c r="J191" s="183"/>
      <c r="K191" s="183"/>
      <c r="L191" s="183"/>
      <c r="M191" s="183"/>
      <c r="N191" s="183"/>
      <c r="O191" s="183"/>
      <c r="P191" s="183"/>
      <c r="Q191" s="183"/>
      <c r="R191" s="183"/>
      <c r="S191" s="183"/>
      <c r="T191" s="183"/>
      <c r="U191" s="183"/>
      <c r="V191" s="183"/>
      <c r="W191" s="183"/>
      <c r="X191" s="183"/>
      <c r="Y191" s="183"/>
      <c r="Z191" s="183"/>
      <c r="AA191" s="183"/>
      <c r="AB191" s="183"/>
      <c r="AC191" s="183"/>
      <c r="AD191" s="183"/>
    </row>
    <row r="192" spans="1:30">
      <c r="A192" s="183"/>
      <c r="B192" s="183"/>
      <c r="C192" s="183"/>
      <c r="D192" s="183"/>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c r="AA192" s="183"/>
      <c r="AB192" s="183"/>
      <c r="AC192" s="183"/>
      <c r="AD192" s="183"/>
    </row>
    <row r="193" spans="1:30">
      <c r="A193" s="183"/>
      <c r="B193" s="183"/>
      <c r="C193" s="183"/>
      <c r="D193" s="18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183"/>
      <c r="AB193" s="183"/>
      <c r="AC193" s="183"/>
      <c r="AD193" s="183"/>
    </row>
    <row r="194" spans="1:30">
      <c r="A194" s="183"/>
      <c r="B194" s="183"/>
      <c r="C194" s="183"/>
      <c r="D194" s="18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c r="AA194" s="183"/>
      <c r="AB194" s="183"/>
      <c r="AC194" s="183"/>
      <c r="AD194" s="183"/>
    </row>
    <row r="195" spans="1:30">
      <c r="A195" s="183"/>
      <c r="B195" s="183"/>
      <c r="C195" s="183"/>
      <c r="D195" s="183"/>
      <c r="E195" s="183"/>
      <c r="F195" s="183"/>
      <c r="G195" s="183"/>
      <c r="H195" s="183"/>
      <c r="I195" s="183"/>
      <c r="J195" s="183"/>
      <c r="K195" s="183"/>
      <c r="L195" s="183"/>
      <c r="M195" s="183"/>
      <c r="N195" s="183"/>
      <c r="O195" s="183"/>
      <c r="P195" s="183"/>
      <c r="Q195" s="183"/>
      <c r="R195" s="183"/>
      <c r="S195" s="183"/>
      <c r="T195" s="183"/>
      <c r="U195" s="183"/>
      <c r="V195" s="183"/>
      <c r="W195" s="183"/>
      <c r="X195" s="183"/>
      <c r="Y195" s="183"/>
      <c r="Z195" s="183"/>
      <c r="AA195" s="183"/>
      <c r="AB195" s="183"/>
      <c r="AC195" s="183"/>
      <c r="AD195" s="183"/>
    </row>
    <row r="196" spans="1:30">
      <c r="A196" s="183"/>
      <c r="B196" s="183"/>
      <c r="C196" s="183"/>
      <c r="D196" s="18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c r="AA196" s="183"/>
      <c r="AB196" s="183"/>
      <c r="AC196" s="183"/>
      <c r="AD196" s="183"/>
    </row>
    <row r="197" spans="1:30">
      <c r="A197" s="183"/>
      <c r="B197" s="183"/>
      <c r="C197" s="183"/>
      <c r="D197" s="183"/>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183"/>
      <c r="AA197" s="183"/>
      <c r="AB197" s="183"/>
      <c r="AC197" s="183"/>
      <c r="AD197" s="183"/>
    </row>
    <row r="198" spans="1:30">
      <c r="A198" s="183"/>
      <c r="B198" s="183"/>
      <c r="C198" s="183"/>
      <c r="D198" s="18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c r="AA198" s="183"/>
      <c r="AB198" s="183"/>
      <c r="AC198" s="183"/>
      <c r="AD198" s="183"/>
    </row>
    <row r="199" spans="1:30">
      <c r="A199" s="183"/>
      <c r="B199" s="183"/>
      <c r="C199" s="183"/>
      <c r="D199" s="183"/>
      <c r="E199" s="183"/>
      <c r="F199" s="183"/>
      <c r="G199" s="183"/>
      <c r="H199" s="183"/>
      <c r="I199" s="183"/>
      <c r="J199" s="183"/>
      <c r="K199" s="183"/>
      <c r="L199" s="183"/>
      <c r="M199" s="183"/>
      <c r="N199" s="183"/>
      <c r="O199" s="183"/>
      <c r="P199" s="183"/>
      <c r="Q199" s="183"/>
      <c r="R199" s="183"/>
      <c r="S199" s="183"/>
      <c r="T199" s="183"/>
      <c r="U199" s="183"/>
      <c r="V199" s="183"/>
      <c r="W199" s="183"/>
      <c r="X199" s="183"/>
      <c r="Y199" s="183"/>
      <c r="Z199" s="183"/>
      <c r="AA199" s="183"/>
      <c r="AB199" s="183"/>
      <c r="AC199" s="183"/>
      <c r="AD199" s="183"/>
    </row>
    <row r="200" spans="1:30">
      <c r="A200" s="183"/>
      <c r="B200" s="183"/>
      <c r="C200" s="183"/>
      <c r="D200" s="183"/>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183"/>
      <c r="AA200" s="183"/>
      <c r="AB200" s="183"/>
      <c r="AC200" s="183"/>
      <c r="AD200" s="183"/>
    </row>
    <row r="201" spans="1:30">
      <c r="A201" s="183"/>
      <c r="B201" s="183"/>
      <c r="C201" s="183"/>
      <c r="D201" s="18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c r="AA201" s="183"/>
      <c r="AB201" s="183"/>
      <c r="AC201" s="183"/>
      <c r="AD201" s="183"/>
    </row>
    <row r="202" spans="1:30">
      <c r="A202" s="183"/>
      <c r="B202" s="183"/>
      <c r="C202" s="183"/>
      <c r="D202" s="18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c r="AA202" s="183"/>
      <c r="AB202" s="183"/>
      <c r="AC202" s="183"/>
      <c r="AD202" s="183"/>
    </row>
  </sheetData>
  <sheetProtection sheet="1" objects="1" scenarios="1"/>
  <mergeCells count="4">
    <mergeCell ref="A6:D6"/>
    <mergeCell ref="A20:D20"/>
    <mergeCell ref="A38:D38"/>
    <mergeCell ref="A52:D52"/>
  </mergeCells>
  <phoneticPr fontId="11" type="noConversion"/>
  <pageMargins left="0.25" right="0.25" top="0.25" bottom="0.5" header="0.5" footer="0.25"/>
  <pageSetup orientation="portrait" r:id="rId1"/>
  <headerFooter alignWithMargins="0">
    <oddFooter>&amp;L&amp;"Arial,Italic"&amp;9EPA Climate Leaders Simplified GHG Emissions Calculator (Conversion Factors)&amp;R&amp;"Arial,Italic"&amp;9&amp;P of &amp;N</oddFooter>
  </headerFooter>
  <rowBreaks count="1" manualBreakCount="1">
    <brk id="57"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D107"/>
  <sheetViews>
    <sheetView zoomScale="80" zoomScaleNormal="80" workbookViewId="0"/>
  </sheetViews>
  <sheetFormatPr defaultColWidth="8.85546875" defaultRowHeight="12.75"/>
  <cols>
    <col min="1" max="1" width="28.85546875" customWidth="1"/>
    <col min="2" max="2" width="23.140625" customWidth="1"/>
    <col min="3" max="3" width="10.85546875" bestFit="1" customWidth="1"/>
    <col min="4" max="5" width="16.140625" bestFit="1" customWidth="1"/>
    <col min="6" max="6" width="53.42578125" customWidth="1"/>
  </cols>
  <sheetData>
    <row r="1" spans="1:30"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row>
    <row r="2" spans="1:30"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row>
    <row r="3" spans="1:30" ht="15">
      <c r="A3" s="182" t="s">
        <v>409</v>
      </c>
      <c r="B3" s="162"/>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row>
    <row r="4" spans="1:30">
      <c r="A4" s="714" t="s">
        <v>1320</v>
      </c>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row>
    <row r="5" spans="1:30" ht="13.5" thickBot="1">
      <c r="B5" s="162"/>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row>
    <row r="6" spans="1:30">
      <c r="A6" s="616" t="s">
        <v>161</v>
      </c>
      <c r="B6" s="617" t="s">
        <v>217</v>
      </c>
      <c r="C6" s="617" t="s">
        <v>218</v>
      </c>
      <c r="D6" s="617" t="s">
        <v>219</v>
      </c>
      <c r="E6" s="617" t="s">
        <v>159</v>
      </c>
      <c r="F6" s="618" t="s">
        <v>153</v>
      </c>
      <c r="G6" s="714"/>
      <c r="H6" s="162"/>
      <c r="I6" s="162"/>
      <c r="J6" s="162"/>
      <c r="K6" s="162"/>
      <c r="L6" s="162"/>
      <c r="M6" s="162"/>
      <c r="N6" s="162"/>
      <c r="O6" s="162"/>
      <c r="P6" s="162"/>
      <c r="Q6" s="162"/>
      <c r="R6" s="162"/>
      <c r="S6" s="162"/>
      <c r="T6" s="162"/>
      <c r="U6" s="162"/>
      <c r="V6" s="162"/>
      <c r="W6" s="162"/>
      <c r="X6" s="162"/>
      <c r="Y6" s="162"/>
      <c r="Z6" s="162"/>
      <c r="AA6" s="162"/>
      <c r="AB6" s="162"/>
      <c r="AC6" s="162"/>
      <c r="AD6" s="162"/>
    </row>
    <row r="7" spans="1:30" ht="12.6" customHeight="1">
      <c r="A7" s="188" t="s">
        <v>166</v>
      </c>
      <c r="B7" s="188" t="s">
        <v>220</v>
      </c>
      <c r="C7" s="188" t="s">
        <v>167</v>
      </c>
      <c r="D7" s="865">
        <f>ROUND(1/0.001026,6)</f>
        <v>974.65886899999998</v>
      </c>
      <c r="E7" s="188" t="s">
        <v>231</v>
      </c>
      <c r="F7" s="1294" t="s">
        <v>1314</v>
      </c>
      <c r="G7" s="162"/>
      <c r="H7" s="162"/>
      <c r="I7" s="162"/>
      <c r="J7" s="162"/>
      <c r="K7" s="162"/>
      <c r="L7" s="162"/>
      <c r="M7" s="162"/>
      <c r="N7" s="162"/>
      <c r="O7" s="162"/>
      <c r="P7" s="162"/>
      <c r="Q7" s="162"/>
      <c r="R7" s="162"/>
      <c r="S7" s="162"/>
      <c r="T7" s="162"/>
      <c r="U7" s="162"/>
      <c r="V7" s="162"/>
      <c r="W7" s="162"/>
      <c r="X7" s="162"/>
      <c r="Y7" s="162"/>
      <c r="Z7" s="162"/>
      <c r="AA7" s="162"/>
      <c r="AB7" s="162"/>
      <c r="AC7" s="162"/>
      <c r="AD7" s="162"/>
    </row>
    <row r="8" spans="1:30">
      <c r="A8" s="188" t="s">
        <v>166</v>
      </c>
      <c r="B8" s="188" t="s">
        <v>561</v>
      </c>
      <c r="C8" s="188" t="s">
        <v>167</v>
      </c>
      <c r="D8" s="866">
        <f>D7</f>
        <v>974.65886899999998</v>
      </c>
      <c r="E8" s="188" t="s">
        <v>232</v>
      </c>
      <c r="F8" s="1295"/>
      <c r="G8" s="162"/>
      <c r="H8" s="162"/>
      <c r="I8" s="162"/>
      <c r="J8" s="162"/>
      <c r="K8" s="183"/>
      <c r="L8" s="162"/>
      <c r="M8" s="162"/>
      <c r="N8" s="162"/>
      <c r="O8" s="162"/>
      <c r="P8" s="162"/>
      <c r="Q8" s="162"/>
      <c r="R8" s="162"/>
      <c r="S8" s="162"/>
      <c r="T8" s="162"/>
      <c r="U8" s="162"/>
      <c r="V8" s="162"/>
      <c r="W8" s="162"/>
      <c r="X8" s="162"/>
      <c r="Y8" s="162"/>
      <c r="Z8" s="162"/>
      <c r="AA8" s="162"/>
      <c r="AB8" s="162"/>
      <c r="AC8" s="162"/>
      <c r="AD8" s="162"/>
    </row>
    <row r="9" spans="1:30">
      <c r="A9" s="188" t="s">
        <v>166</v>
      </c>
      <c r="B9" s="188" t="s">
        <v>226</v>
      </c>
      <c r="C9" s="188" t="s">
        <v>167</v>
      </c>
      <c r="D9" s="866">
        <f>D8/10</f>
        <v>97.465886900000001</v>
      </c>
      <c r="E9" s="188" t="s">
        <v>233</v>
      </c>
      <c r="F9" s="1295"/>
      <c r="G9" s="162"/>
      <c r="H9" s="162"/>
      <c r="I9" s="162"/>
      <c r="J9" s="162"/>
      <c r="K9" s="162"/>
      <c r="L9" s="162"/>
      <c r="M9" s="162"/>
      <c r="N9" s="162"/>
      <c r="O9" s="162"/>
      <c r="P9" s="162"/>
      <c r="Q9" s="162"/>
      <c r="R9" s="162"/>
      <c r="S9" s="162"/>
      <c r="T9" s="162"/>
      <c r="U9" s="162"/>
      <c r="V9" s="162"/>
      <c r="W9" s="162"/>
      <c r="X9" s="162"/>
      <c r="Y9" s="162"/>
      <c r="Z9" s="162"/>
      <c r="AA9" s="162"/>
      <c r="AB9" s="162"/>
      <c r="AC9" s="162"/>
      <c r="AD9" s="162"/>
    </row>
    <row r="10" spans="1:30">
      <c r="A10" s="188" t="s">
        <v>166</v>
      </c>
      <c r="B10" s="188" t="s">
        <v>227</v>
      </c>
      <c r="C10" s="188" t="s">
        <v>167</v>
      </c>
      <c r="D10" s="867">
        <v>100</v>
      </c>
      <c r="E10" s="188" t="s">
        <v>234</v>
      </c>
      <c r="F10" s="1295"/>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row>
    <row r="11" spans="1:30">
      <c r="A11" s="188" t="s">
        <v>166</v>
      </c>
      <c r="B11" s="188" t="s">
        <v>228</v>
      </c>
      <c r="C11" s="188" t="s">
        <v>167</v>
      </c>
      <c r="D11" s="867">
        <v>1000</v>
      </c>
      <c r="E11" s="188" t="s">
        <v>235</v>
      </c>
      <c r="F11" s="1295"/>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row>
    <row r="12" spans="1:30">
      <c r="A12" s="188" t="s">
        <v>166</v>
      </c>
      <c r="B12" s="188" t="s">
        <v>229</v>
      </c>
      <c r="C12" s="188" t="s">
        <v>167</v>
      </c>
      <c r="D12" s="868">
        <f>1/'Unit Conversions'!C25</f>
        <v>35.310734463276837</v>
      </c>
      <c r="E12" s="188" t="s">
        <v>236</v>
      </c>
      <c r="F12" s="1295"/>
      <c r="G12" s="162"/>
      <c r="H12" s="162"/>
      <c r="I12" s="162"/>
      <c r="J12" s="162"/>
      <c r="K12" s="162"/>
      <c r="L12" s="183"/>
      <c r="M12" s="162"/>
      <c r="N12" s="162"/>
      <c r="O12" s="162"/>
      <c r="P12" s="162"/>
      <c r="Q12" s="162"/>
      <c r="R12" s="162"/>
      <c r="S12" s="162"/>
      <c r="T12" s="162"/>
      <c r="U12" s="162"/>
      <c r="V12" s="162"/>
      <c r="W12" s="162"/>
      <c r="X12" s="162"/>
      <c r="Y12" s="162"/>
      <c r="Z12" s="162"/>
      <c r="AA12" s="162"/>
      <c r="AB12" s="162"/>
      <c r="AC12" s="162"/>
      <c r="AD12" s="162"/>
    </row>
    <row r="13" spans="1:30">
      <c r="A13" s="188" t="s">
        <v>166</v>
      </c>
      <c r="B13" s="188" t="s">
        <v>230</v>
      </c>
      <c r="C13" s="188" t="s">
        <v>167</v>
      </c>
      <c r="D13" s="869">
        <f>D7*('Unit Conversions'!C40/1000000)</f>
        <v>3.325536061028</v>
      </c>
      <c r="E13" s="188" t="s">
        <v>237</v>
      </c>
      <c r="F13" s="1295"/>
      <c r="G13" s="162"/>
      <c r="H13" s="162"/>
      <c r="I13" s="162"/>
      <c r="J13" s="162"/>
      <c r="K13" s="162"/>
      <c r="L13" s="183"/>
      <c r="M13" s="162"/>
      <c r="N13" s="162"/>
      <c r="O13" s="162"/>
      <c r="P13" s="162"/>
      <c r="Q13" s="162"/>
      <c r="R13" s="162"/>
      <c r="S13" s="162"/>
      <c r="T13" s="162"/>
      <c r="U13" s="162"/>
      <c r="V13" s="162"/>
      <c r="W13" s="162"/>
      <c r="X13" s="162"/>
      <c r="Y13" s="162"/>
      <c r="Z13" s="162"/>
      <c r="AA13" s="162"/>
      <c r="AB13" s="162"/>
      <c r="AC13" s="162"/>
      <c r="AD13" s="162"/>
    </row>
    <row r="14" spans="1:30">
      <c r="A14" s="188" t="s">
        <v>162</v>
      </c>
      <c r="B14" s="188" t="s">
        <v>220</v>
      </c>
      <c r="C14" s="188" t="s">
        <v>221</v>
      </c>
      <c r="D14" s="870">
        <f>1/25.09</f>
        <v>3.9856516540454363E-2</v>
      </c>
      <c r="E14" s="188" t="s">
        <v>225</v>
      </c>
      <c r="F14" s="1295"/>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row>
    <row r="15" spans="1:30">
      <c r="A15" s="188" t="s">
        <v>163</v>
      </c>
      <c r="B15" s="188" t="s">
        <v>220</v>
      </c>
      <c r="C15" s="188" t="s">
        <v>221</v>
      </c>
      <c r="D15" s="870">
        <f>1/24.93</f>
        <v>4.011231448054553E-2</v>
      </c>
      <c r="E15" s="188" t="s">
        <v>225</v>
      </c>
      <c r="F15" s="1295"/>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row>
    <row r="16" spans="1:30">
      <c r="A16" s="188" t="s">
        <v>164</v>
      </c>
      <c r="B16" s="188" t="s">
        <v>220</v>
      </c>
      <c r="C16" s="188" t="s">
        <v>221</v>
      </c>
      <c r="D16" s="870">
        <f>1/17.25</f>
        <v>5.7971014492753624E-2</v>
      </c>
      <c r="E16" s="188" t="s">
        <v>225</v>
      </c>
      <c r="F16" s="1295"/>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row>
    <row r="17" spans="1:30">
      <c r="A17" s="188" t="s">
        <v>165</v>
      </c>
      <c r="B17" s="188" t="s">
        <v>220</v>
      </c>
      <c r="C17" s="188" t="s">
        <v>221</v>
      </c>
      <c r="D17" s="870">
        <f>1/14.21</f>
        <v>7.0372976776917659E-2</v>
      </c>
      <c r="E17" s="188" t="s">
        <v>225</v>
      </c>
      <c r="F17" s="1295"/>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row>
    <row r="18" spans="1:30">
      <c r="A18" s="188" t="s">
        <v>1300</v>
      </c>
      <c r="B18" s="188" t="s">
        <v>220</v>
      </c>
      <c r="C18" s="188" t="s">
        <v>221</v>
      </c>
      <c r="D18" s="870">
        <f>1/21.39</f>
        <v>4.6750818139317439E-2</v>
      </c>
      <c r="E18" s="188" t="s">
        <v>225</v>
      </c>
      <c r="F18" s="1295"/>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row>
    <row r="19" spans="1:30">
      <c r="A19" s="871" t="s">
        <v>728</v>
      </c>
      <c r="B19" s="188" t="s">
        <v>220</v>
      </c>
      <c r="C19" s="188" t="s">
        <v>221</v>
      </c>
      <c r="D19" s="870">
        <f>1/19.73</f>
        <v>5.0684237202230108E-2</v>
      </c>
      <c r="E19" s="188" t="s">
        <v>225</v>
      </c>
      <c r="F19" s="1295"/>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row>
    <row r="20" spans="1:30">
      <c r="A20" s="634" t="s">
        <v>1315</v>
      </c>
      <c r="B20" s="188" t="s">
        <v>220</v>
      </c>
      <c r="C20" s="188" t="s">
        <v>221</v>
      </c>
      <c r="D20" s="870">
        <f>1/26.28</f>
        <v>3.8051750380517502E-2</v>
      </c>
      <c r="E20" s="188" t="s">
        <v>225</v>
      </c>
      <c r="F20" s="1295"/>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row>
    <row r="21" spans="1:30">
      <c r="A21" s="634" t="s">
        <v>1316</v>
      </c>
      <c r="B21" s="188" t="s">
        <v>220</v>
      </c>
      <c r="C21" s="188" t="s">
        <v>221</v>
      </c>
      <c r="D21" s="870">
        <f>1/22.35</f>
        <v>4.4742729306487691E-2</v>
      </c>
      <c r="E21" s="188" t="s">
        <v>225</v>
      </c>
      <c r="F21" s="1295"/>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row>
    <row r="22" spans="1:30">
      <c r="A22" s="871" t="s">
        <v>729</v>
      </c>
      <c r="B22" s="188" t="s">
        <v>220</v>
      </c>
      <c r="C22" s="188" t="s">
        <v>221</v>
      </c>
      <c r="D22" s="870">
        <f>1/24.8</f>
        <v>4.0322580645161289E-2</v>
      </c>
      <c r="E22" s="188" t="s">
        <v>225</v>
      </c>
      <c r="F22" s="1295"/>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row>
    <row r="23" spans="1:30">
      <c r="A23" s="871" t="s">
        <v>1317</v>
      </c>
      <c r="B23" s="188" t="s">
        <v>220</v>
      </c>
      <c r="C23" s="188" t="s">
        <v>221</v>
      </c>
      <c r="D23" s="870">
        <f>1/8.25</f>
        <v>0.12121212121212122</v>
      </c>
      <c r="E23" s="188" t="s">
        <v>225</v>
      </c>
      <c r="F23" s="1295"/>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row>
    <row r="24" spans="1:30">
      <c r="A24" s="871" t="s">
        <v>1318</v>
      </c>
      <c r="B24" s="188" t="s">
        <v>220</v>
      </c>
      <c r="C24" s="188" t="s">
        <v>221</v>
      </c>
      <c r="D24" s="870">
        <f>1/8</f>
        <v>0.125</v>
      </c>
      <c r="E24" s="188" t="s">
        <v>225</v>
      </c>
      <c r="F24" s="1295"/>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row>
    <row r="25" spans="1:30">
      <c r="A25" s="871" t="s">
        <v>1319</v>
      </c>
      <c r="B25" s="188" t="s">
        <v>220</v>
      </c>
      <c r="C25" s="188" t="s">
        <v>221</v>
      </c>
      <c r="D25" s="870">
        <f>1/10.39</f>
        <v>9.6246390760346481E-2</v>
      </c>
      <c r="E25" s="188" t="s">
        <v>225</v>
      </c>
      <c r="F25" s="1295"/>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row>
    <row r="26" spans="1:30">
      <c r="A26" s="871" t="s">
        <v>732</v>
      </c>
      <c r="B26" s="188" t="s">
        <v>220</v>
      </c>
      <c r="C26" s="188" t="s">
        <v>221</v>
      </c>
      <c r="D26" s="870">
        <f>1/17.48</f>
        <v>5.7208237986270019E-2</v>
      </c>
      <c r="E26" s="188" t="s">
        <v>225</v>
      </c>
      <c r="F26" s="1295"/>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row>
    <row r="27" spans="1:30">
      <c r="A27" s="871" t="s">
        <v>1325</v>
      </c>
      <c r="B27" s="188" t="s">
        <v>220</v>
      </c>
      <c r="C27" s="188" t="s">
        <v>221</v>
      </c>
      <c r="D27" s="870">
        <f>1/9.95</f>
        <v>0.10050251256281408</v>
      </c>
      <c r="E27" s="188" t="s">
        <v>225</v>
      </c>
      <c r="F27" s="1295"/>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row>
    <row r="28" spans="1:30">
      <c r="A28" s="871" t="s">
        <v>1326</v>
      </c>
      <c r="B28" s="188" t="s">
        <v>220</v>
      </c>
      <c r="C28" s="188" t="s">
        <v>221</v>
      </c>
      <c r="D28" s="870">
        <f>1/30</f>
        <v>3.3333333333333333E-2</v>
      </c>
      <c r="E28" s="188" t="s">
        <v>225</v>
      </c>
      <c r="F28" s="1295"/>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row>
    <row r="29" spans="1:30">
      <c r="A29" s="871" t="s">
        <v>1327</v>
      </c>
      <c r="B29" s="188" t="s">
        <v>220</v>
      </c>
      <c r="C29" s="188" t="s">
        <v>221</v>
      </c>
      <c r="D29" s="870">
        <f>1/38</f>
        <v>2.6315789473684209E-2</v>
      </c>
      <c r="E29" s="188" t="s">
        <v>225</v>
      </c>
      <c r="F29" s="1295"/>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row>
    <row r="30" spans="1:30">
      <c r="A30" s="871" t="s">
        <v>1102</v>
      </c>
      <c r="B30" s="188" t="s">
        <v>220</v>
      </c>
      <c r="C30" s="188" t="s">
        <v>221</v>
      </c>
      <c r="D30" s="870">
        <f>1/28</f>
        <v>3.5714285714285712E-2</v>
      </c>
      <c r="E30" s="188" t="s">
        <v>225</v>
      </c>
      <c r="F30" s="1295"/>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row>
    <row r="31" spans="1:30">
      <c r="A31" s="188" t="s">
        <v>730</v>
      </c>
      <c r="B31" s="188" t="s">
        <v>220</v>
      </c>
      <c r="C31" s="188" t="s">
        <v>238</v>
      </c>
      <c r="D31" s="203">
        <f>1/0.138</f>
        <v>7.2463768115942022</v>
      </c>
      <c r="E31" s="188" t="s">
        <v>239</v>
      </c>
      <c r="F31" s="1295"/>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row>
    <row r="32" spans="1:30">
      <c r="A32" s="188" t="s">
        <v>731</v>
      </c>
      <c r="B32" s="188" t="s">
        <v>220</v>
      </c>
      <c r="C32" s="188" t="s">
        <v>238</v>
      </c>
      <c r="D32" s="869">
        <f>1/0.15</f>
        <v>6.666666666666667</v>
      </c>
      <c r="E32" s="188" t="s">
        <v>239</v>
      </c>
      <c r="F32" s="1295"/>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row>
    <row r="33" spans="1:30">
      <c r="A33" s="188" t="s">
        <v>169</v>
      </c>
      <c r="B33" s="188" t="s">
        <v>220</v>
      </c>
      <c r="C33" s="188" t="s">
        <v>238</v>
      </c>
      <c r="D33" s="869">
        <f>1/0.135</f>
        <v>7.4074074074074066</v>
      </c>
      <c r="E33" s="188" t="s">
        <v>239</v>
      </c>
      <c r="F33" s="1295"/>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row>
    <row r="34" spans="1:30">
      <c r="A34" s="188" t="s">
        <v>733</v>
      </c>
      <c r="B34" s="188" t="s">
        <v>220</v>
      </c>
      <c r="C34" s="188" t="s">
        <v>238</v>
      </c>
      <c r="D34" s="869">
        <f>1/0.092</f>
        <v>10.869565217391305</v>
      </c>
      <c r="E34" s="188" t="s">
        <v>239</v>
      </c>
      <c r="F34" s="1295"/>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row>
    <row r="35" spans="1:30">
      <c r="A35" s="188" t="s">
        <v>737</v>
      </c>
      <c r="B35" s="188" t="s">
        <v>220</v>
      </c>
      <c r="C35" s="188" t="s">
        <v>238</v>
      </c>
      <c r="D35" s="869">
        <f>1/0.128</f>
        <v>7.8125</v>
      </c>
      <c r="E35" s="188" t="s">
        <v>239</v>
      </c>
      <c r="F35" s="1295"/>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row>
    <row r="36" spans="1:30">
      <c r="A36" s="188" t="s">
        <v>736</v>
      </c>
      <c r="B36" s="188" t="s">
        <v>220</v>
      </c>
      <c r="C36" s="188" t="s">
        <v>238</v>
      </c>
      <c r="D36" s="869">
        <f>1/0.084</f>
        <v>11.904761904761903</v>
      </c>
      <c r="E36" s="188" t="s">
        <v>239</v>
      </c>
      <c r="F36" s="1295"/>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row>
    <row r="37" spans="1:30">
      <c r="A37" s="188" t="s">
        <v>1334</v>
      </c>
      <c r="B37" s="188" t="s">
        <v>220</v>
      </c>
      <c r="C37" s="188" t="s">
        <v>238</v>
      </c>
      <c r="D37" s="869">
        <f>1/0.12</f>
        <v>8.3333333333333339</v>
      </c>
      <c r="E37" s="188" t="s">
        <v>239</v>
      </c>
      <c r="F37" s="1295"/>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row>
    <row r="38" spans="1:30">
      <c r="A38" s="188" t="s">
        <v>1330</v>
      </c>
      <c r="B38" s="188" t="s">
        <v>220</v>
      </c>
      <c r="C38" s="188" t="s">
        <v>167</v>
      </c>
      <c r="D38" s="872">
        <f>1/0.002516</f>
        <v>397.45627980922097</v>
      </c>
      <c r="E38" s="188" t="s">
        <v>231</v>
      </c>
      <c r="F38" s="1295"/>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row>
    <row r="39" spans="1:30">
      <c r="A39" s="188" t="s">
        <v>1330</v>
      </c>
      <c r="B39" s="678" t="s">
        <v>226</v>
      </c>
      <c r="C39" s="188" t="s">
        <v>167</v>
      </c>
      <c r="D39" s="866">
        <f>D38/10</f>
        <v>39.745627980922094</v>
      </c>
      <c r="E39" s="188" t="s">
        <v>233</v>
      </c>
      <c r="F39" s="1295"/>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row>
    <row r="40" spans="1:30">
      <c r="A40" s="188" t="s">
        <v>734</v>
      </c>
      <c r="B40" s="188" t="s">
        <v>220</v>
      </c>
      <c r="C40" s="188" t="s">
        <v>167</v>
      </c>
      <c r="D40" s="872">
        <f>1/0.000485</f>
        <v>2061.8556701030925</v>
      </c>
      <c r="E40" s="188" t="s">
        <v>231</v>
      </c>
      <c r="F40" s="1295"/>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row>
    <row r="41" spans="1:30">
      <c r="A41" s="188" t="s">
        <v>734</v>
      </c>
      <c r="B41" s="678" t="s">
        <v>226</v>
      </c>
      <c r="C41" s="188" t="s">
        <v>167</v>
      </c>
      <c r="D41" s="866">
        <f>D40/10</f>
        <v>206.18556701030926</v>
      </c>
      <c r="E41" s="188" t="s">
        <v>233</v>
      </c>
      <c r="F41" s="1296"/>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row>
    <row r="42" spans="1:30">
      <c r="A42" s="476" t="s">
        <v>71</v>
      </c>
      <c r="B42" s="476" t="s">
        <v>555</v>
      </c>
      <c r="C42" s="476" t="s">
        <v>220</v>
      </c>
      <c r="D42" s="339">
        <f>D43*1000</f>
        <v>1.194</v>
      </c>
      <c r="E42" s="476" t="s">
        <v>245</v>
      </c>
      <c r="F42" s="1292" t="s">
        <v>957</v>
      </c>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row>
    <row r="43" spans="1:30">
      <c r="A43" s="339" t="s">
        <v>71</v>
      </c>
      <c r="B43" s="476" t="s">
        <v>336</v>
      </c>
      <c r="C43" s="339" t="s">
        <v>220</v>
      </c>
      <c r="D43" s="339">
        <f>1.194/1000</f>
        <v>1.194E-3</v>
      </c>
      <c r="E43" s="476" t="s">
        <v>554</v>
      </c>
      <c r="F43" s="1293"/>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row>
    <row r="44" spans="1:30">
      <c r="A44" s="339" t="s">
        <v>71</v>
      </c>
      <c r="B44" s="339" t="s">
        <v>243</v>
      </c>
      <c r="C44" s="339" t="s">
        <v>220</v>
      </c>
      <c r="D44" s="339">
        <f>D43/'Unit Conversions'!C15</f>
        <v>2.3879999999999999</v>
      </c>
      <c r="E44" s="339" t="s">
        <v>244</v>
      </c>
      <c r="F44" s="1293"/>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row>
    <row r="45" spans="1:30">
      <c r="A45" s="162"/>
      <c r="B45" s="162"/>
      <c r="C45" s="162"/>
      <c r="D45" s="707"/>
      <c r="E45" s="707"/>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row>
    <row r="46" spans="1:30">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row>
    <row r="47" spans="1:30">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row>
    <row r="48" spans="1:30">
      <c r="A48" s="335"/>
      <c r="B48" s="183"/>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row>
    <row r="49" spans="1:30">
      <c r="A49" s="335"/>
      <c r="B49" s="183"/>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row>
    <row r="50" spans="1:30">
      <c r="A50" s="335"/>
      <c r="B50" s="183"/>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row>
    <row r="51" spans="1:30">
      <c r="A51" s="335"/>
      <c r="B51" s="183"/>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row>
    <row r="52" spans="1:30">
      <c r="A52" s="162"/>
      <c r="B52" s="183"/>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row>
    <row r="53" spans="1:30">
      <c r="A53" s="335"/>
      <c r="B53" s="183"/>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row>
    <row r="54" spans="1:30">
      <c r="A54" s="343"/>
      <c r="B54" s="183"/>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row>
    <row r="55" spans="1:30">
      <c r="A55" s="335"/>
      <c r="B55" s="183"/>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row>
    <row r="56" spans="1:30">
      <c r="A56" s="335"/>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row>
    <row r="57" spans="1:30">
      <c r="A57" s="335"/>
      <c r="B57" s="183"/>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row>
    <row r="58" spans="1:30">
      <c r="A58" s="335"/>
      <c r="B58" s="183"/>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row>
    <row r="59" spans="1:30">
      <c r="A59" s="335"/>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row>
    <row r="60" spans="1:30">
      <c r="A60" s="335"/>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row>
    <row r="61" spans="1:30">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row>
    <row r="62" spans="1:30">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row>
    <row r="63" spans="1:30">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row>
    <row r="64" spans="1:30">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row>
    <row r="65" spans="1:30">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row>
    <row r="66" spans="1:30">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row>
    <row r="67" spans="1:30">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row>
    <row r="68" spans="1:30">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row>
    <row r="69" spans="1:30">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row>
    <row r="70" spans="1:30">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row>
    <row r="71" spans="1:30">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row>
    <row r="72" spans="1:30">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row>
    <row r="73" spans="1:30">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row>
    <row r="74" spans="1:30">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row>
    <row r="75" spans="1:30">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row>
    <row r="76" spans="1:30">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row>
    <row r="77" spans="1:30">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row>
    <row r="78" spans="1:30">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row>
    <row r="79" spans="1:30">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row>
    <row r="80" spans="1:30">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row>
    <row r="81" spans="1:30">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row>
    <row r="82" spans="1:30">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row>
    <row r="83" spans="1:30">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row>
    <row r="84" spans="1:30">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row>
    <row r="85" spans="1:30">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row>
    <row r="86" spans="1:30">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row>
    <row r="87" spans="1:30">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row>
    <row r="88" spans="1:30">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row>
    <row r="89" spans="1:30">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row>
    <row r="90" spans="1:30">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row>
    <row r="91" spans="1:30">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row>
    <row r="92" spans="1:30">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row>
    <row r="93" spans="1:30">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row>
    <row r="94" spans="1:30">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row>
    <row r="95" spans="1:30">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row>
    <row r="96" spans="1:30">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row>
    <row r="97" spans="1:30">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row>
    <row r="98" spans="1:30">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row>
    <row r="99" spans="1:30">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row>
    <row r="100" spans="1:30">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row>
    <row r="101" spans="1:30">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row>
    <row r="102" spans="1:30">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row>
    <row r="103" spans="1:30">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row>
    <row r="104" spans="1:30">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row>
    <row r="105" spans="1:30">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row>
    <row r="106" spans="1:30">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row>
    <row r="107" spans="1:30">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row>
  </sheetData>
  <sheetProtection sheet="1" objects="1" scenarios="1"/>
  <mergeCells count="2">
    <mergeCell ref="F42:F44"/>
    <mergeCell ref="F7:F41"/>
  </mergeCells>
  <pageMargins left="0.7" right="0.7" top="0.75" bottom="0.75" header="0.3" footer="0.3"/>
  <pageSetup scale="62" orientation="portrait" r:id="rId1"/>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IV467"/>
  <sheetViews>
    <sheetView zoomScale="80" zoomScaleNormal="80" workbookViewId="0"/>
  </sheetViews>
  <sheetFormatPr defaultColWidth="8.85546875" defaultRowHeight="12.75"/>
  <cols>
    <col min="1" max="1" width="35.42578125" customWidth="1"/>
    <col min="2" max="2" width="24.140625" customWidth="1"/>
    <col min="3" max="3" width="19.85546875" customWidth="1"/>
    <col min="4" max="4" width="24.85546875" customWidth="1"/>
    <col min="5" max="5" width="16.140625" customWidth="1"/>
    <col min="6" max="6" width="20.42578125" customWidth="1"/>
    <col min="7" max="7" width="22.42578125" customWidth="1"/>
    <col min="8" max="8" width="21.85546875" customWidth="1"/>
    <col min="11" max="11" width="17.42578125" customWidth="1"/>
    <col min="12" max="12" width="9.85546875" bestFit="1" customWidth="1"/>
    <col min="14" max="14" width="20.42578125" bestFit="1" customWidth="1"/>
    <col min="16" max="16" width="11.85546875" bestFit="1" customWidth="1"/>
    <col min="17" max="17" width="9.42578125" bestFit="1" customWidth="1"/>
  </cols>
  <sheetData>
    <row r="1" spans="1:30"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row>
    <row r="2" spans="1:30"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row>
    <row r="3" spans="1:30" ht="15">
      <c r="A3" s="182" t="s">
        <v>418</v>
      </c>
      <c r="B3" s="162"/>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row>
    <row r="4" spans="1:30">
      <c r="A4" s="183"/>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row>
    <row r="5" spans="1:30" ht="23.45" customHeight="1">
      <c r="A5" s="1297" t="s">
        <v>1362</v>
      </c>
      <c r="B5" s="1297"/>
      <c r="C5" s="1297"/>
      <c r="D5" s="1297"/>
      <c r="E5" s="1297"/>
      <c r="F5" s="1297"/>
      <c r="G5" s="1297"/>
      <c r="H5" s="1297"/>
    </row>
    <row r="6" spans="1:30" ht="23.45" customHeight="1">
      <c r="A6" s="1063" t="s">
        <v>1350</v>
      </c>
      <c r="B6" s="1062"/>
      <c r="C6" s="1062"/>
      <c r="D6" s="1062"/>
      <c r="E6" s="1062"/>
      <c r="F6" s="1062"/>
      <c r="G6" s="1062"/>
      <c r="H6" s="1062"/>
    </row>
    <row r="7" spans="1:30">
      <c r="A7" s="658" t="s">
        <v>986</v>
      </c>
      <c r="B7" s="162"/>
      <c r="C7" s="162"/>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row>
    <row r="8" spans="1:30">
      <c r="A8" s="658"/>
      <c r="B8" s="162"/>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row>
    <row r="9" spans="1:30">
      <c r="A9" s="267" t="s">
        <v>657</v>
      </c>
      <c r="B9" s="268"/>
      <c r="C9" s="268"/>
      <c r="D9" s="268"/>
      <c r="E9" s="268"/>
      <c r="F9" s="268"/>
      <c r="G9" s="268"/>
      <c r="H9" s="268"/>
      <c r="I9" s="162"/>
      <c r="J9" s="162"/>
      <c r="K9" s="162"/>
      <c r="L9" s="162"/>
      <c r="M9" s="162"/>
      <c r="N9" s="162"/>
      <c r="O9" s="162"/>
      <c r="P9" s="162"/>
      <c r="Q9" s="162"/>
      <c r="R9" s="162"/>
      <c r="S9" s="162"/>
      <c r="T9" s="162"/>
      <c r="U9" s="162"/>
      <c r="V9" s="162"/>
      <c r="W9" s="162"/>
      <c r="X9" s="162"/>
      <c r="Y9" s="162"/>
      <c r="Z9" s="162"/>
      <c r="AA9" s="162"/>
      <c r="AB9" s="162"/>
      <c r="AC9" s="162"/>
      <c r="AD9" s="162"/>
    </row>
    <row r="10" spans="1:30" ht="13.5" thickBot="1">
      <c r="B10" s="8"/>
      <c r="C10" s="8"/>
      <c r="D10" s="8"/>
      <c r="E10" s="8"/>
      <c r="F10" s="8"/>
      <c r="G10" s="8"/>
      <c r="H10" s="8"/>
      <c r="I10" s="162"/>
      <c r="J10" s="162"/>
      <c r="K10" s="162"/>
      <c r="L10" s="162"/>
      <c r="M10" s="162"/>
      <c r="N10" s="162"/>
      <c r="O10" s="162"/>
      <c r="P10" s="162"/>
      <c r="Q10" s="162"/>
      <c r="R10" s="162"/>
      <c r="S10" s="162"/>
      <c r="T10" s="162"/>
      <c r="U10" s="162"/>
      <c r="V10" s="162"/>
      <c r="W10" s="162"/>
      <c r="X10" s="162"/>
      <c r="Y10" s="162"/>
      <c r="Z10" s="162"/>
      <c r="AA10" s="162"/>
      <c r="AB10" s="162"/>
      <c r="AC10" s="162"/>
      <c r="AD10" s="162"/>
    </row>
    <row r="11" spans="1:30" ht="27.75" thickBot="1">
      <c r="A11" s="623" t="s">
        <v>161</v>
      </c>
      <c r="B11" s="622" t="s">
        <v>833</v>
      </c>
      <c r="C11" s="622" t="s">
        <v>250</v>
      </c>
      <c r="D11" s="622" t="s">
        <v>251</v>
      </c>
      <c r="E11" s="622" t="s">
        <v>834</v>
      </c>
      <c r="F11" s="622" t="s">
        <v>263</v>
      </c>
      <c r="G11" s="622" t="s">
        <v>264</v>
      </c>
      <c r="H11" s="428" t="s">
        <v>29</v>
      </c>
      <c r="I11" s="162"/>
      <c r="J11" s="162"/>
      <c r="K11" s="162"/>
      <c r="L11" s="162"/>
      <c r="M11" s="162"/>
      <c r="N11" s="162"/>
      <c r="O11" s="162"/>
      <c r="P11" s="162"/>
      <c r="Q11" s="162"/>
      <c r="R11" s="162"/>
      <c r="S11" s="162"/>
      <c r="T11" s="162"/>
      <c r="U11" s="162"/>
      <c r="V11" s="162"/>
      <c r="W11" s="162"/>
      <c r="X11" s="162"/>
      <c r="Y11" s="162"/>
      <c r="Z11" s="162"/>
      <c r="AA11" s="162"/>
      <c r="AB11" s="162"/>
      <c r="AC11" s="162"/>
      <c r="AD11" s="162"/>
    </row>
    <row r="12" spans="1:30">
      <c r="A12" s="628" t="s">
        <v>166</v>
      </c>
      <c r="B12" s="629">
        <v>53.06</v>
      </c>
      <c r="C12" s="630">
        <v>1</v>
      </c>
      <c r="D12" s="631">
        <v>0.1</v>
      </c>
      <c r="E12" s="632">
        <v>5.4440000000000002E-2</v>
      </c>
      <c r="F12" s="632">
        <v>1.0300000000000001E-3</v>
      </c>
      <c r="G12" s="632">
        <v>1E-4</v>
      </c>
      <c r="H12" s="633" t="s">
        <v>167</v>
      </c>
      <c r="I12" s="183"/>
      <c r="J12" s="162"/>
      <c r="K12" s="162"/>
      <c r="L12" s="162"/>
      <c r="M12" s="162"/>
      <c r="N12" s="162"/>
      <c r="O12" s="162"/>
      <c r="P12" s="162"/>
      <c r="Q12" s="162"/>
      <c r="R12" s="162"/>
      <c r="S12" s="162"/>
      <c r="T12" s="162"/>
      <c r="U12" s="162"/>
      <c r="V12" s="162"/>
      <c r="W12" s="162"/>
      <c r="X12" s="162"/>
      <c r="Y12" s="162"/>
      <c r="Z12" s="162"/>
      <c r="AA12" s="162"/>
      <c r="AB12" s="162"/>
      <c r="AC12" s="162"/>
      <c r="AD12" s="162"/>
    </row>
    <row r="13" spans="1:30">
      <c r="A13" s="634" t="s">
        <v>730</v>
      </c>
      <c r="B13" s="635">
        <v>73.959999999999994</v>
      </c>
      <c r="C13" s="636">
        <v>3</v>
      </c>
      <c r="D13" s="637">
        <v>0.6</v>
      </c>
      <c r="E13" s="638">
        <v>10.210000000000001</v>
      </c>
      <c r="F13" s="638">
        <v>0.41</v>
      </c>
      <c r="G13" s="638">
        <v>0.08</v>
      </c>
      <c r="H13" s="639" t="s">
        <v>168</v>
      </c>
      <c r="I13" s="773"/>
      <c r="J13" s="162"/>
      <c r="K13" s="162"/>
      <c r="L13" s="162"/>
      <c r="M13" s="162"/>
      <c r="N13" s="162"/>
      <c r="O13" s="162"/>
      <c r="P13" s="773"/>
      <c r="Q13" s="162"/>
      <c r="R13" s="162"/>
      <c r="S13" s="162"/>
      <c r="T13" s="162"/>
      <c r="U13" s="162"/>
      <c r="V13" s="162"/>
      <c r="W13" s="162"/>
      <c r="X13" s="162"/>
      <c r="Y13" s="162"/>
      <c r="Z13" s="162"/>
      <c r="AA13" s="162"/>
      <c r="AB13" s="162"/>
      <c r="AC13" s="162"/>
      <c r="AD13" s="162"/>
    </row>
    <row r="14" spans="1:30">
      <c r="A14" s="634" t="s">
        <v>731</v>
      </c>
      <c r="B14" s="637">
        <v>75.099999999999994</v>
      </c>
      <c r="C14" s="636">
        <v>3</v>
      </c>
      <c r="D14" s="637">
        <v>0.6</v>
      </c>
      <c r="E14" s="638">
        <v>11.27</v>
      </c>
      <c r="F14" s="638">
        <v>0.45</v>
      </c>
      <c r="G14" s="638">
        <v>0.09</v>
      </c>
      <c r="H14" s="639" t="s">
        <v>168</v>
      </c>
      <c r="I14" s="773"/>
      <c r="J14" s="162"/>
      <c r="K14" s="162"/>
      <c r="L14" s="162"/>
      <c r="M14" s="162"/>
      <c r="N14" s="162"/>
      <c r="O14" s="162"/>
      <c r="P14" s="162"/>
      <c r="Q14" s="162"/>
      <c r="R14" s="162"/>
      <c r="S14" s="162"/>
      <c r="T14" s="162"/>
      <c r="U14" s="162"/>
      <c r="V14" s="162"/>
      <c r="W14" s="162"/>
      <c r="X14" s="162"/>
      <c r="Y14" s="162"/>
      <c r="Z14" s="162"/>
      <c r="AA14" s="162"/>
      <c r="AB14" s="162"/>
      <c r="AC14" s="162"/>
      <c r="AD14" s="162"/>
    </row>
    <row r="15" spans="1:30">
      <c r="A15" s="640" t="s">
        <v>169</v>
      </c>
      <c r="B15" s="637">
        <v>75.2</v>
      </c>
      <c r="C15" s="636">
        <v>3</v>
      </c>
      <c r="D15" s="637">
        <v>0.6</v>
      </c>
      <c r="E15" s="638">
        <v>10.15</v>
      </c>
      <c r="F15" s="638">
        <v>0.41</v>
      </c>
      <c r="G15" s="638">
        <v>0.08</v>
      </c>
      <c r="H15" s="639" t="s">
        <v>168</v>
      </c>
      <c r="I15" s="773"/>
      <c r="J15" s="162"/>
      <c r="K15" s="162"/>
      <c r="L15" s="162"/>
      <c r="M15" s="162"/>
      <c r="N15" s="162"/>
      <c r="O15" s="162"/>
      <c r="P15" s="162"/>
      <c r="Q15" s="162"/>
      <c r="R15" s="162"/>
      <c r="S15" s="162"/>
      <c r="T15" s="162"/>
      <c r="U15" s="162"/>
      <c r="V15" s="162"/>
      <c r="W15" s="162"/>
      <c r="X15" s="162"/>
      <c r="Y15" s="162"/>
      <c r="Z15" s="162"/>
      <c r="AA15" s="162"/>
      <c r="AB15" s="162"/>
      <c r="AC15" s="162"/>
      <c r="AD15" s="162"/>
    </row>
    <row r="16" spans="1:30">
      <c r="A16" s="634" t="s">
        <v>733</v>
      </c>
      <c r="B16" s="635">
        <v>61.71</v>
      </c>
      <c r="C16" s="636">
        <v>3</v>
      </c>
      <c r="D16" s="637">
        <v>0.6</v>
      </c>
      <c r="E16" s="638">
        <v>5.68</v>
      </c>
      <c r="F16" s="638">
        <v>0.28000000000000003</v>
      </c>
      <c r="G16" s="638">
        <v>0.06</v>
      </c>
      <c r="H16" s="639" t="s">
        <v>168</v>
      </c>
      <c r="I16" s="773"/>
      <c r="J16" s="162"/>
      <c r="K16" s="162"/>
      <c r="L16" s="162"/>
      <c r="M16" s="162"/>
      <c r="N16" s="162"/>
      <c r="O16" s="162"/>
      <c r="P16" s="162"/>
      <c r="Q16" s="162"/>
      <c r="R16" s="162"/>
      <c r="S16" s="162"/>
      <c r="T16" s="162"/>
      <c r="U16" s="162"/>
      <c r="V16" s="162"/>
      <c r="W16" s="162"/>
      <c r="X16" s="162"/>
      <c r="Y16" s="162"/>
      <c r="Z16" s="162"/>
      <c r="AA16" s="162"/>
      <c r="AB16" s="162"/>
      <c r="AC16" s="162"/>
      <c r="AD16" s="162"/>
    </row>
    <row r="17" spans="1:30">
      <c r="A17" s="640" t="s">
        <v>162</v>
      </c>
      <c r="B17" s="635">
        <v>103.69</v>
      </c>
      <c r="C17" s="635">
        <v>11</v>
      </c>
      <c r="D17" s="635">
        <v>1.6</v>
      </c>
      <c r="E17" s="641">
        <v>2602</v>
      </c>
      <c r="F17" s="642">
        <v>276</v>
      </c>
      <c r="G17" s="642">
        <v>40</v>
      </c>
      <c r="H17" s="639" t="s">
        <v>222</v>
      </c>
      <c r="I17" s="773"/>
      <c r="J17" s="162"/>
      <c r="K17" s="162"/>
      <c r="L17" s="162"/>
      <c r="M17" s="162"/>
      <c r="N17" s="162"/>
      <c r="O17" s="162"/>
      <c r="P17" s="162"/>
      <c r="Q17" s="162"/>
      <c r="R17" s="162"/>
      <c r="S17" s="162"/>
      <c r="T17" s="162"/>
      <c r="U17" s="162"/>
      <c r="V17" s="162"/>
      <c r="W17" s="162"/>
      <c r="X17" s="162"/>
      <c r="Y17" s="162"/>
      <c r="Z17" s="162"/>
      <c r="AA17" s="162"/>
      <c r="AB17" s="162"/>
      <c r="AC17" s="162"/>
      <c r="AD17" s="162"/>
    </row>
    <row r="18" spans="1:30">
      <c r="A18" s="640" t="s">
        <v>163</v>
      </c>
      <c r="B18" s="637">
        <v>93.28</v>
      </c>
      <c r="C18" s="635">
        <v>11</v>
      </c>
      <c r="D18" s="635">
        <v>1.6</v>
      </c>
      <c r="E18" s="641">
        <v>2325</v>
      </c>
      <c r="F18" s="642">
        <v>274</v>
      </c>
      <c r="G18" s="642">
        <v>40</v>
      </c>
      <c r="H18" s="639" t="s">
        <v>222</v>
      </c>
      <c r="I18" s="773"/>
      <c r="J18" s="162"/>
      <c r="K18" s="162"/>
      <c r="L18" s="162"/>
      <c r="M18" s="162"/>
      <c r="N18" s="162"/>
      <c r="O18" s="162"/>
      <c r="P18" s="162"/>
      <c r="Q18" s="162"/>
      <c r="R18" s="162"/>
      <c r="S18" s="162"/>
      <c r="T18" s="162"/>
      <c r="U18" s="162"/>
      <c r="V18" s="162"/>
      <c r="W18" s="162"/>
      <c r="X18" s="162"/>
      <c r="Y18" s="162"/>
      <c r="Z18" s="162"/>
      <c r="AA18" s="162"/>
      <c r="AB18" s="162"/>
      <c r="AC18" s="162"/>
      <c r="AD18" s="162"/>
    </row>
    <row r="19" spans="1:30">
      <c r="A19" s="640" t="s">
        <v>164</v>
      </c>
      <c r="B19" s="635">
        <v>97.17</v>
      </c>
      <c r="C19" s="635">
        <v>11</v>
      </c>
      <c r="D19" s="635">
        <v>1.6</v>
      </c>
      <c r="E19" s="641">
        <v>1676</v>
      </c>
      <c r="F19" s="642">
        <v>190</v>
      </c>
      <c r="G19" s="642">
        <v>28</v>
      </c>
      <c r="H19" s="639" t="s">
        <v>222</v>
      </c>
      <c r="I19" s="773"/>
      <c r="J19" s="162"/>
      <c r="K19" s="162"/>
      <c r="L19" s="162"/>
      <c r="M19" s="162"/>
      <c r="N19" s="162"/>
      <c r="O19" s="162"/>
      <c r="P19" s="162"/>
      <c r="Q19" s="162"/>
      <c r="R19" s="162"/>
      <c r="S19" s="162"/>
      <c r="T19" s="162"/>
      <c r="U19" s="162"/>
      <c r="V19" s="162"/>
      <c r="W19" s="162"/>
      <c r="X19" s="162"/>
      <c r="Y19" s="162"/>
      <c r="Z19" s="162"/>
      <c r="AA19" s="162"/>
      <c r="AB19" s="162"/>
      <c r="AC19" s="162"/>
      <c r="AD19" s="162"/>
    </row>
    <row r="20" spans="1:30">
      <c r="A20" s="640" t="s">
        <v>165</v>
      </c>
      <c r="B20" s="635">
        <v>97.72</v>
      </c>
      <c r="C20" s="635">
        <v>11</v>
      </c>
      <c r="D20" s="635">
        <v>1.6</v>
      </c>
      <c r="E20" s="641">
        <v>1389</v>
      </c>
      <c r="F20" s="642">
        <v>156</v>
      </c>
      <c r="G20" s="642">
        <v>23</v>
      </c>
      <c r="H20" s="639" t="s">
        <v>222</v>
      </c>
      <c r="I20" s="773"/>
      <c r="J20" s="162"/>
      <c r="K20" s="162"/>
      <c r="L20" s="162"/>
      <c r="M20" s="162"/>
      <c r="N20" s="162"/>
      <c r="O20" s="162"/>
      <c r="P20" s="162"/>
      <c r="Q20" s="162"/>
      <c r="R20" s="162"/>
      <c r="S20" s="162"/>
      <c r="T20" s="162"/>
      <c r="U20" s="162"/>
      <c r="V20" s="162"/>
      <c r="W20" s="162"/>
      <c r="X20" s="162"/>
      <c r="Y20" s="162"/>
      <c r="Z20" s="162"/>
      <c r="AA20" s="162"/>
      <c r="AB20" s="162"/>
      <c r="AC20" s="162"/>
      <c r="AD20" s="162"/>
    </row>
    <row r="21" spans="1:30">
      <c r="A21" s="640" t="s">
        <v>1300</v>
      </c>
      <c r="B21" s="635">
        <v>94.27</v>
      </c>
      <c r="C21" s="635">
        <v>11</v>
      </c>
      <c r="D21" s="635">
        <v>1.6</v>
      </c>
      <c r="E21" s="641">
        <v>2016</v>
      </c>
      <c r="F21" s="642">
        <v>235</v>
      </c>
      <c r="G21" s="642">
        <v>34</v>
      </c>
      <c r="H21" s="639" t="s">
        <v>222</v>
      </c>
      <c r="I21" s="773"/>
      <c r="J21" s="162"/>
      <c r="K21" s="162"/>
      <c r="L21" s="162"/>
      <c r="M21" s="162"/>
      <c r="N21" s="162"/>
      <c r="O21" s="162"/>
      <c r="P21" s="162"/>
      <c r="Q21" s="162"/>
      <c r="R21" s="162"/>
      <c r="S21" s="162"/>
      <c r="T21" s="162"/>
      <c r="U21" s="162"/>
      <c r="V21" s="162"/>
      <c r="W21" s="162"/>
      <c r="X21" s="162"/>
      <c r="Y21" s="162"/>
      <c r="Z21" s="162"/>
      <c r="AA21" s="162"/>
      <c r="AB21" s="162"/>
      <c r="AC21" s="162"/>
      <c r="AD21" s="162"/>
    </row>
    <row r="22" spans="1:30">
      <c r="A22" s="634" t="s">
        <v>728</v>
      </c>
      <c r="B22" s="635">
        <v>95.52</v>
      </c>
      <c r="C22" s="635">
        <v>11</v>
      </c>
      <c r="D22" s="635">
        <v>1.6</v>
      </c>
      <c r="E22" s="678">
        <v>1885</v>
      </c>
      <c r="F22" s="678">
        <v>217</v>
      </c>
      <c r="G22" s="678">
        <v>32</v>
      </c>
      <c r="H22" s="639" t="s">
        <v>222</v>
      </c>
      <c r="I22" s="336"/>
      <c r="J22" s="162"/>
      <c r="K22" s="162"/>
      <c r="L22" s="162"/>
      <c r="M22" s="162"/>
      <c r="N22" s="162"/>
      <c r="O22" s="162"/>
      <c r="P22" s="162"/>
      <c r="Q22" s="162"/>
      <c r="R22" s="162"/>
      <c r="S22" s="162"/>
      <c r="T22" s="162"/>
      <c r="U22" s="162"/>
      <c r="V22" s="162"/>
      <c r="W22" s="162"/>
      <c r="X22" s="162"/>
      <c r="Y22" s="162"/>
      <c r="Z22" s="162"/>
      <c r="AA22" s="162"/>
      <c r="AB22" s="162"/>
      <c r="AC22" s="162"/>
      <c r="AD22" s="162"/>
    </row>
    <row r="23" spans="1:30">
      <c r="A23" s="634" t="s">
        <v>1315</v>
      </c>
      <c r="B23" s="635">
        <v>93.9</v>
      </c>
      <c r="C23" s="635">
        <v>11</v>
      </c>
      <c r="D23" s="635">
        <v>1.6</v>
      </c>
      <c r="E23" s="678">
        <v>2468</v>
      </c>
      <c r="F23" s="678">
        <v>289</v>
      </c>
      <c r="G23" s="678">
        <v>42</v>
      </c>
      <c r="H23" s="639" t="s">
        <v>222</v>
      </c>
      <c r="I23" s="336"/>
      <c r="J23" s="162"/>
      <c r="K23" s="162"/>
      <c r="L23" s="162"/>
      <c r="M23" s="162"/>
      <c r="N23" s="162"/>
      <c r="O23" s="162"/>
      <c r="P23" s="162"/>
      <c r="Q23" s="162"/>
      <c r="R23" s="162"/>
      <c r="S23" s="162"/>
      <c r="T23" s="162"/>
      <c r="U23" s="162"/>
      <c r="V23" s="162"/>
      <c r="W23" s="162"/>
      <c r="X23" s="162"/>
      <c r="Y23" s="162"/>
      <c r="Z23" s="162"/>
      <c r="AA23" s="162"/>
      <c r="AB23" s="162"/>
      <c r="AC23" s="162"/>
      <c r="AD23" s="162"/>
    </row>
    <row r="24" spans="1:30">
      <c r="A24" s="634" t="s">
        <v>1316</v>
      </c>
      <c r="B24" s="635">
        <v>94.67</v>
      </c>
      <c r="C24" s="635">
        <v>11</v>
      </c>
      <c r="D24" s="635">
        <v>1.6</v>
      </c>
      <c r="E24" s="678">
        <v>2116</v>
      </c>
      <c r="F24" s="678">
        <v>246</v>
      </c>
      <c r="G24" s="678">
        <v>36</v>
      </c>
      <c r="H24" s="639" t="s">
        <v>222</v>
      </c>
      <c r="I24" s="336"/>
      <c r="J24" s="162"/>
      <c r="K24" s="162"/>
      <c r="L24" s="162"/>
      <c r="M24" s="162"/>
      <c r="N24" s="162"/>
      <c r="O24" s="162"/>
      <c r="P24" s="162"/>
      <c r="Q24" s="162"/>
      <c r="R24" s="162"/>
      <c r="S24" s="162"/>
      <c r="T24" s="162"/>
      <c r="U24" s="162"/>
      <c r="V24" s="162"/>
      <c r="W24" s="162"/>
      <c r="X24" s="162"/>
      <c r="Y24" s="162"/>
      <c r="Z24" s="162"/>
      <c r="AA24" s="162"/>
      <c r="AB24" s="162"/>
      <c r="AC24" s="162"/>
      <c r="AD24" s="162"/>
    </row>
    <row r="25" spans="1:30">
      <c r="A25" s="640" t="s">
        <v>729</v>
      </c>
      <c r="B25" s="635">
        <v>113.67</v>
      </c>
      <c r="C25" s="635">
        <v>11</v>
      </c>
      <c r="D25" s="635">
        <v>1.6</v>
      </c>
      <c r="E25" s="678">
        <v>2819</v>
      </c>
      <c r="F25" s="678">
        <v>273</v>
      </c>
      <c r="G25" s="678">
        <v>40</v>
      </c>
      <c r="H25" s="639" t="s">
        <v>222</v>
      </c>
      <c r="I25" s="336"/>
      <c r="J25" s="162"/>
      <c r="K25" s="162"/>
      <c r="L25" s="162"/>
      <c r="M25" s="162"/>
      <c r="N25" s="162"/>
      <c r="O25" s="162"/>
      <c r="P25" s="162"/>
      <c r="Q25" s="162"/>
      <c r="R25" s="162"/>
      <c r="S25" s="162"/>
      <c r="T25" s="162"/>
      <c r="U25" s="162"/>
      <c r="V25" s="162"/>
      <c r="W25" s="162"/>
      <c r="X25" s="162"/>
      <c r="Y25" s="162"/>
      <c r="Z25" s="162"/>
      <c r="AA25" s="162"/>
      <c r="AB25" s="162"/>
      <c r="AC25" s="162"/>
      <c r="AD25" s="162"/>
    </row>
    <row r="26" spans="1:30">
      <c r="A26" s="634" t="s">
        <v>1325</v>
      </c>
      <c r="B26" s="635">
        <v>90.7</v>
      </c>
      <c r="C26" s="635">
        <v>32</v>
      </c>
      <c r="D26" s="635">
        <v>4.2</v>
      </c>
      <c r="E26" s="678">
        <v>902</v>
      </c>
      <c r="F26" s="678">
        <v>318</v>
      </c>
      <c r="G26" s="678">
        <v>42</v>
      </c>
      <c r="H26" s="639" t="s">
        <v>222</v>
      </c>
      <c r="I26" s="336"/>
      <c r="J26" s="162"/>
      <c r="K26" s="162"/>
      <c r="L26" s="162"/>
      <c r="M26" s="162"/>
      <c r="N26" s="162"/>
      <c r="O26" s="162"/>
      <c r="P26" s="162"/>
      <c r="Q26" s="162"/>
      <c r="R26" s="162"/>
      <c r="S26" s="162"/>
      <c r="T26" s="162"/>
      <c r="U26" s="162"/>
      <c r="V26" s="162"/>
      <c r="W26" s="162"/>
      <c r="X26" s="162"/>
      <c r="Y26" s="162"/>
      <c r="Z26" s="162"/>
      <c r="AA26" s="162"/>
      <c r="AB26" s="162"/>
      <c r="AC26" s="162"/>
      <c r="AD26" s="162"/>
    </row>
    <row r="27" spans="1:30">
      <c r="A27" s="634" t="s">
        <v>1326</v>
      </c>
      <c r="B27" s="635">
        <v>102.41</v>
      </c>
      <c r="C27" s="635">
        <v>32</v>
      </c>
      <c r="D27" s="635">
        <v>4.2</v>
      </c>
      <c r="E27" s="678">
        <v>3072</v>
      </c>
      <c r="F27" s="678">
        <v>960</v>
      </c>
      <c r="G27" s="678">
        <v>126</v>
      </c>
      <c r="H27" s="639" t="s">
        <v>222</v>
      </c>
      <c r="I27" s="336"/>
      <c r="J27" s="162"/>
      <c r="K27" s="162"/>
      <c r="L27" s="162"/>
      <c r="M27" s="162"/>
      <c r="N27" s="162"/>
      <c r="O27" s="162"/>
      <c r="P27" s="162"/>
      <c r="Q27" s="162"/>
      <c r="R27" s="162"/>
      <c r="S27" s="162"/>
      <c r="T27" s="162"/>
      <c r="U27" s="162"/>
      <c r="V27" s="162"/>
      <c r="W27" s="162"/>
      <c r="X27" s="162"/>
      <c r="Y27" s="162"/>
      <c r="Z27" s="162"/>
      <c r="AA27" s="162"/>
      <c r="AB27" s="162"/>
      <c r="AC27" s="162"/>
      <c r="AD27" s="162"/>
    </row>
    <row r="28" spans="1:30">
      <c r="A28" s="634" t="s">
        <v>1327</v>
      </c>
      <c r="B28" s="635">
        <v>75</v>
      </c>
      <c r="C28" s="635">
        <v>32</v>
      </c>
      <c r="D28" s="635">
        <v>4.2</v>
      </c>
      <c r="E28" s="678">
        <v>2850</v>
      </c>
      <c r="F28" s="678">
        <v>1216</v>
      </c>
      <c r="G28" s="678">
        <v>160</v>
      </c>
      <c r="H28" s="639" t="s">
        <v>222</v>
      </c>
      <c r="I28" s="336"/>
      <c r="J28" s="162"/>
      <c r="K28" s="162"/>
      <c r="L28" s="162"/>
      <c r="M28" s="162"/>
      <c r="N28" s="162"/>
      <c r="O28" s="162"/>
      <c r="P28" s="162"/>
      <c r="Q28" s="162"/>
      <c r="R28" s="162"/>
      <c r="S28" s="162"/>
      <c r="T28" s="162"/>
      <c r="U28" s="162"/>
      <c r="V28" s="162"/>
      <c r="W28" s="162"/>
      <c r="X28" s="162"/>
      <c r="Y28" s="162"/>
      <c r="Z28" s="162"/>
      <c r="AA28" s="162"/>
      <c r="AB28" s="162"/>
      <c r="AC28" s="162"/>
      <c r="AD28" s="162"/>
    </row>
    <row r="29" spans="1:30">
      <c r="A29" s="634" t="s">
        <v>1102</v>
      </c>
      <c r="B29" s="635">
        <v>85.97</v>
      </c>
      <c r="C29" s="635">
        <v>32</v>
      </c>
      <c r="D29" s="635">
        <v>4.2</v>
      </c>
      <c r="E29" s="678">
        <v>2407</v>
      </c>
      <c r="F29" s="678">
        <v>896</v>
      </c>
      <c r="G29" s="678">
        <v>118</v>
      </c>
      <c r="H29" s="639" t="s">
        <v>222</v>
      </c>
      <c r="I29" s="336"/>
      <c r="J29" s="162"/>
      <c r="K29" s="162"/>
      <c r="L29" s="162"/>
      <c r="M29" s="162"/>
      <c r="N29" s="162"/>
      <c r="O29" s="162"/>
      <c r="P29" s="162"/>
      <c r="Q29" s="162"/>
      <c r="R29" s="162"/>
      <c r="S29" s="162"/>
      <c r="T29" s="162"/>
      <c r="U29" s="162"/>
      <c r="V29" s="162"/>
      <c r="W29" s="162"/>
      <c r="X29" s="162"/>
      <c r="Y29" s="162"/>
      <c r="Z29" s="162"/>
      <c r="AA29" s="162"/>
      <c r="AB29" s="162"/>
      <c r="AC29" s="162"/>
      <c r="AD29" s="162"/>
    </row>
    <row r="30" spans="1:30">
      <c r="A30" s="640" t="s">
        <v>1317</v>
      </c>
      <c r="B30" s="678">
        <v>118.17</v>
      </c>
      <c r="C30" s="678">
        <v>32</v>
      </c>
      <c r="D30" s="678">
        <v>4.2</v>
      </c>
      <c r="E30" s="678">
        <v>975</v>
      </c>
      <c r="F30" s="678">
        <v>264</v>
      </c>
      <c r="G30" s="678">
        <v>35</v>
      </c>
      <c r="H30" s="639" t="s">
        <v>222</v>
      </c>
      <c r="I30" s="336"/>
      <c r="J30" s="162"/>
      <c r="K30" s="162"/>
      <c r="L30" s="162"/>
      <c r="M30" s="162"/>
      <c r="N30" s="162"/>
      <c r="O30" s="162"/>
      <c r="P30" s="162"/>
      <c r="Q30" s="162"/>
      <c r="R30" s="162"/>
      <c r="S30" s="162"/>
      <c r="T30" s="162"/>
      <c r="U30" s="162"/>
      <c r="V30" s="162"/>
      <c r="W30" s="162"/>
      <c r="X30" s="162"/>
      <c r="Y30" s="162"/>
      <c r="Z30" s="162"/>
      <c r="AA30" s="162"/>
      <c r="AB30" s="162"/>
      <c r="AC30" s="162"/>
      <c r="AD30" s="162"/>
    </row>
    <row r="31" spans="1:30">
      <c r="A31" s="640" t="s">
        <v>1318</v>
      </c>
      <c r="B31" s="678">
        <v>111.84</v>
      </c>
      <c r="C31" s="678">
        <v>32</v>
      </c>
      <c r="D31" s="678">
        <v>4.2</v>
      </c>
      <c r="E31" s="678">
        <v>895</v>
      </c>
      <c r="F31" s="678">
        <v>256</v>
      </c>
      <c r="G31" s="678">
        <v>34</v>
      </c>
      <c r="H31" s="639" t="s">
        <v>222</v>
      </c>
      <c r="I31" s="336"/>
      <c r="J31" s="162"/>
      <c r="K31" s="162"/>
      <c r="L31" s="162"/>
      <c r="M31" s="162"/>
      <c r="N31" s="162"/>
      <c r="O31" s="162"/>
      <c r="P31" s="162"/>
      <c r="Q31" s="162"/>
      <c r="R31" s="162"/>
      <c r="S31" s="162"/>
      <c r="T31" s="162"/>
      <c r="U31" s="162"/>
      <c r="V31" s="162"/>
      <c r="W31" s="162"/>
      <c r="X31" s="162"/>
      <c r="Y31" s="162"/>
      <c r="Z31" s="162"/>
      <c r="AA31" s="162"/>
      <c r="AB31" s="162"/>
      <c r="AC31" s="162"/>
      <c r="AD31" s="162"/>
    </row>
    <row r="32" spans="1:30">
      <c r="A32" s="640" t="s">
        <v>1319</v>
      </c>
      <c r="B32" s="678">
        <v>105.51</v>
      </c>
      <c r="C32" s="678">
        <v>32</v>
      </c>
      <c r="D32" s="678">
        <v>4.2</v>
      </c>
      <c r="E32" s="678">
        <v>1096</v>
      </c>
      <c r="F32" s="678">
        <v>332</v>
      </c>
      <c r="G32" s="678">
        <v>44</v>
      </c>
      <c r="H32" s="639" t="s">
        <v>222</v>
      </c>
      <c r="I32" s="336"/>
      <c r="J32" s="162"/>
      <c r="K32" s="162"/>
      <c r="L32" s="162"/>
      <c r="M32" s="162"/>
      <c r="N32" s="162"/>
      <c r="O32" s="162"/>
      <c r="P32" s="162"/>
      <c r="Q32" s="162"/>
      <c r="R32" s="162"/>
      <c r="S32" s="162"/>
      <c r="T32" s="162"/>
      <c r="U32" s="162"/>
      <c r="V32" s="162"/>
      <c r="W32" s="162"/>
      <c r="X32" s="162"/>
      <c r="Y32" s="162"/>
      <c r="Z32" s="162"/>
      <c r="AA32" s="162"/>
      <c r="AB32" s="162"/>
      <c r="AC32" s="162"/>
      <c r="AD32" s="162"/>
    </row>
    <row r="33" spans="1:30">
      <c r="A33" s="640" t="s">
        <v>732</v>
      </c>
      <c r="B33" s="635">
        <v>0</v>
      </c>
      <c r="C33" s="635">
        <v>7.2</v>
      </c>
      <c r="D33" s="635">
        <v>3.6</v>
      </c>
      <c r="E33" s="643">
        <v>1640</v>
      </c>
      <c r="F33" s="643">
        <v>126</v>
      </c>
      <c r="G33" s="643">
        <v>63</v>
      </c>
      <c r="H33" s="639" t="s">
        <v>222</v>
      </c>
      <c r="I33" s="773"/>
      <c r="J33" s="162"/>
      <c r="K33" s="162"/>
      <c r="L33" s="162"/>
      <c r="M33" s="162"/>
      <c r="N33" s="162"/>
      <c r="O33" s="162"/>
      <c r="P33" s="162"/>
      <c r="Q33" s="162"/>
      <c r="R33" s="162"/>
      <c r="S33" s="162"/>
      <c r="T33" s="162"/>
      <c r="U33" s="162"/>
      <c r="V33" s="162"/>
      <c r="W33" s="162"/>
      <c r="X33" s="162"/>
      <c r="Y33" s="162"/>
      <c r="Z33" s="162"/>
      <c r="AA33" s="162"/>
      <c r="AB33" s="162"/>
      <c r="AC33" s="162"/>
      <c r="AD33" s="162"/>
    </row>
    <row r="34" spans="1:30">
      <c r="A34" s="640" t="s">
        <v>1330</v>
      </c>
      <c r="B34" s="635">
        <v>61.46</v>
      </c>
      <c r="C34" s="635">
        <v>3</v>
      </c>
      <c r="D34" s="637">
        <v>0.6</v>
      </c>
      <c r="E34" s="638">
        <v>0.15462999999999999</v>
      </c>
      <c r="F34" s="638">
        <v>7.548E-3</v>
      </c>
      <c r="G34" s="638">
        <v>1.5100000000000001E-3</v>
      </c>
      <c r="H34" s="639" t="s">
        <v>167</v>
      </c>
      <c r="I34" s="773"/>
      <c r="J34" s="162"/>
      <c r="K34" s="162"/>
      <c r="L34" s="162"/>
      <c r="M34" s="162"/>
      <c r="N34" s="162"/>
      <c r="O34" s="162"/>
      <c r="P34" s="162"/>
      <c r="Q34" s="162"/>
      <c r="R34" s="162"/>
      <c r="S34" s="162"/>
      <c r="T34" s="162"/>
      <c r="U34" s="162"/>
      <c r="V34" s="162"/>
      <c r="W34" s="162"/>
      <c r="X34" s="162"/>
      <c r="Y34" s="162"/>
      <c r="Z34" s="162"/>
      <c r="AA34" s="162"/>
      <c r="AB34" s="162"/>
      <c r="AC34" s="162"/>
      <c r="AD34" s="162"/>
    </row>
    <row r="35" spans="1:30">
      <c r="A35" s="947" t="s">
        <v>734</v>
      </c>
      <c r="B35" s="635">
        <v>0</v>
      </c>
      <c r="C35" s="635">
        <v>3.2</v>
      </c>
      <c r="D35" s="635">
        <v>0.63</v>
      </c>
      <c r="E35" s="948">
        <v>2.5253999999999999E-2</v>
      </c>
      <c r="F35" s="948">
        <v>1.5520000000000002E-3</v>
      </c>
      <c r="G35" s="948">
        <v>3.0600000000000001E-4</v>
      </c>
      <c r="H35" s="639" t="s">
        <v>167</v>
      </c>
      <c r="I35" s="773"/>
      <c r="J35" s="162"/>
      <c r="K35" s="162"/>
      <c r="L35" s="162"/>
      <c r="M35" s="162"/>
      <c r="N35" s="162"/>
      <c r="O35" s="162"/>
      <c r="P35" s="162"/>
      <c r="Q35" s="162"/>
      <c r="R35" s="162"/>
      <c r="S35" s="162"/>
      <c r="T35" s="162"/>
      <c r="U35" s="162"/>
      <c r="V35" s="162"/>
      <c r="W35" s="162"/>
      <c r="X35" s="162"/>
      <c r="Y35" s="162"/>
      <c r="Z35" s="162"/>
      <c r="AA35" s="162"/>
      <c r="AB35" s="162"/>
      <c r="AC35" s="162"/>
      <c r="AD35" s="162"/>
    </row>
    <row r="36" spans="1:30">
      <c r="A36" s="947" t="s">
        <v>737</v>
      </c>
      <c r="B36" s="635">
        <v>73.84</v>
      </c>
      <c r="C36" s="635">
        <v>1.1000000000000001</v>
      </c>
      <c r="D36" s="635">
        <v>0.11</v>
      </c>
      <c r="E36" s="948">
        <v>9.4499999999999993</v>
      </c>
      <c r="F36" s="948">
        <v>0.14000000000000001</v>
      </c>
      <c r="G36" s="948">
        <v>0.01</v>
      </c>
      <c r="H36" s="639" t="s">
        <v>168</v>
      </c>
      <c r="I36" s="773"/>
      <c r="J36" s="162"/>
      <c r="K36" s="162"/>
      <c r="L36" s="162"/>
      <c r="M36" s="162"/>
      <c r="N36" s="162"/>
      <c r="O36" s="162"/>
      <c r="P36" s="162"/>
      <c r="Q36" s="162"/>
      <c r="R36" s="162"/>
      <c r="S36" s="162"/>
      <c r="T36" s="162"/>
      <c r="U36" s="162"/>
      <c r="V36" s="162"/>
      <c r="W36" s="162"/>
      <c r="X36" s="162"/>
      <c r="Y36" s="162"/>
      <c r="Z36" s="162"/>
      <c r="AA36" s="162"/>
      <c r="AB36" s="162"/>
      <c r="AC36" s="162"/>
      <c r="AD36" s="162"/>
    </row>
    <row r="37" spans="1:30">
      <c r="A37" s="947" t="s">
        <v>736</v>
      </c>
      <c r="B37" s="635">
        <v>68.44</v>
      </c>
      <c r="C37" s="635">
        <v>1.1000000000000001</v>
      </c>
      <c r="D37" s="635">
        <v>0.11</v>
      </c>
      <c r="E37" s="948">
        <v>5.75</v>
      </c>
      <c r="F37" s="948">
        <v>0.09</v>
      </c>
      <c r="G37" s="948">
        <v>0.01</v>
      </c>
      <c r="H37" s="639" t="s">
        <v>168</v>
      </c>
      <c r="I37" s="773"/>
      <c r="J37" s="162"/>
      <c r="K37" s="162"/>
      <c r="L37" s="162"/>
      <c r="M37" s="162"/>
      <c r="N37" s="162"/>
      <c r="O37" s="162"/>
      <c r="P37" s="162"/>
      <c r="Q37" s="162"/>
      <c r="R37" s="162"/>
      <c r="S37" s="162"/>
      <c r="T37" s="162"/>
      <c r="U37" s="162"/>
      <c r="V37" s="162"/>
      <c r="W37" s="162"/>
      <c r="X37" s="162"/>
      <c r="Y37" s="162"/>
      <c r="Z37" s="162"/>
      <c r="AA37" s="162"/>
      <c r="AB37" s="162"/>
      <c r="AC37" s="162"/>
      <c r="AD37" s="162"/>
    </row>
    <row r="38" spans="1:30">
      <c r="A38" s="640" t="s">
        <v>1333</v>
      </c>
      <c r="B38" s="635">
        <v>71.06</v>
      </c>
      <c r="C38" s="635">
        <v>1.1000000000000001</v>
      </c>
      <c r="D38" s="637">
        <v>0.11</v>
      </c>
      <c r="E38" s="638">
        <v>8.8800000000000008</v>
      </c>
      <c r="F38" s="638">
        <v>0.14000000000000001</v>
      </c>
      <c r="G38" s="638">
        <v>0.01</v>
      </c>
      <c r="H38" s="639" t="s">
        <v>168</v>
      </c>
      <c r="I38" s="773"/>
      <c r="J38" s="162"/>
      <c r="K38" s="162"/>
      <c r="L38" s="162"/>
      <c r="M38" s="162"/>
      <c r="N38" s="162"/>
      <c r="O38" s="162"/>
      <c r="P38" s="162"/>
      <c r="Q38" s="162"/>
      <c r="R38" s="162"/>
      <c r="S38" s="162"/>
      <c r="T38" s="162"/>
      <c r="U38" s="162"/>
      <c r="V38" s="162"/>
      <c r="W38" s="162"/>
      <c r="X38" s="162"/>
      <c r="Y38" s="162"/>
      <c r="Z38" s="162"/>
      <c r="AA38" s="162"/>
      <c r="AB38" s="162"/>
      <c r="AC38" s="162"/>
      <c r="AD38" s="162"/>
    </row>
    <row r="39" spans="1:30" ht="13.5" thickBot="1">
      <c r="A39" s="644" t="s">
        <v>1334</v>
      </c>
      <c r="B39" s="645">
        <v>81.55</v>
      </c>
      <c r="C39" s="645">
        <v>1.1000000000000001</v>
      </c>
      <c r="D39" s="645">
        <v>0.11</v>
      </c>
      <c r="E39" s="949">
        <v>9.7899999999999991</v>
      </c>
      <c r="F39" s="949">
        <v>0.13</v>
      </c>
      <c r="G39" s="949">
        <v>0.01</v>
      </c>
      <c r="H39" s="646" t="s">
        <v>168</v>
      </c>
      <c r="I39" s="773"/>
      <c r="J39" s="162"/>
      <c r="K39" s="162"/>
      <c r="L39" s="162"/>
      <c r="M39" s="162"/>
      <c r="N39" s="162"/>
      <c r="O39" s="162"/>
      <c r="P39" s="162"/>
      <c r="Q39" s="162"/>
      <c r="R39" s="162"/>
      <c r="S39" s="162"/>
      <c r="T39" s="162"/>
      <c r="U39" s="162"/>
      <c r="V39" s="162"/>
      <c r="W39" s="162"/>
      <c r="X39" s="162"/>
      <c r="Y39" s="162"/>
      <c r="Z39" s="162"/>
      <c r="AA39" s="162"/>
      <c r="AB39" s="162"/>
      <c r="AC39" s="162"/>
      <c r="AD39" s="162"/>
    </row>
    <row r="40" spans="1:30" ht="13.35" customHeight="1">
      <c r="A40" s="197"/>
      <c r="B40" s="4"/>
      <c r="C40" s="4"/>
      <c r="D40" s="4"/>
      <c r="E40" s="4"/>
      <c r="F40" s="4"/>
      <c r="G40" s="4"/>
      <c r="H40" s="4"/>
      <c r="I40" s="162"/>
      <c r="J40" s="162"/>
      <c r="K40" s="162"/>
      <c r="L40" s="162"/>
      <c r="M40" s="162"/>
      <c r="N40" s="162"/>
      <c r="O40" s="162"/>
      <c r="P40" s="162"/>
      <c r="Q40" s="162"/>
      <c r="R40" s="162"/>
      <c r="S40" s="162"/>
      <c r="T40" s="162"/>
      <c r="U40" s="162"/>
      <c r="V40" s="162"/>
      <c r="W40" s="162"/>
      <c r="X40" s="162"/>
      <c r="Y40" s="162"/>
      <c r="Z40" s="162"/>
      <c r="AA40" s="162"/>
      <c r="AB40" s="162"/>
      <c r="AC40" s="162"/>
      <c r="AD40" s="162"/>
    </row>
    <row r="41" spans="1:30">
      <c r="A41" s="267" t="s">
        <v>417</v>
      </c>
      <c r="B41" s="268"/>
      <c r="C41" s="268"/>
      <c r="D41" s="268"/>
      <c r="E41" s="268"/>
      <c r="F41" s="268"/>
      <c r="G41" s="268"/>
      <c r="H41" s="268"/>
      <c r="I41" s="162"/>
      <c r="J41" s="162"/>
      <c r="K41" s="162"/>
      <c r="L41" s="162"/>
      <c r="M41" s="162"/>
      <c r="N41" s="162"/>
      <c r="O41" s="162"/>
      <c r="P41" s="162"/>
      <c r="Q41" s="162"/>
      <c r="R41" s="162"/>
      <c r="S41" s="162"/>
      <c r="T41" s="162"/>
      <c r="U41" s="162"/>
      <c r="V41" s="162"/>
      <c r="W41" s="162"/>
      <c r="X41" s="162"/>
      <c r="Y41" s="162"/>
      <c r="Z41" s="162"/>
      <c r="AA41" s="162"/>
      <c r="AB41" s="162"/>
      <c r="AC41" s="162"/>
      <c r="AD41" s="162"/>
    </row>
    <row r="42" spans="1:30" ht="15" thickBot="1">
      <c r="A42" s="7" t="s">
        <v>256</v>
      </c>
      <c r="B42" s="4"/>
      <c r="C42" s="4"/>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row>
    <row r="43" spans="1:30" ht="29.25" thickBot="1">
      <c r="A43" s="430" t="s">
        <v>161</v>
      </c>
      <c r="B43" s="423" t="s">
        <v>662</v>
      </c>
      <c r="C43" s="427" t="s">
        <v>29</v>
      </c>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row>
    <row r="44" spans="1:30">
      <c r="A44" s="205" t="s">
        <v>186</v>
      </c>
      <c r="B44" s="436">
        <v>8.7799999999999994</v>
      </c>
      <c r="C44" s="206" t="s">
        <v>238</v>
      </c>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row>
    <row r="45" spans="1:30">
      <c r="A45" s="207" t="s">
        <v>187</v>
      </c>
      <c r="B45" s="339">
        <v>10.210000000000001</v>
      </c>
      <c r="C45" s="208" t="s">
        <v>238</v>
      </c>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row>
    <row r="46" spans="1:30">
      <c r="A46" s="207" t="s">
        <v>735</v>
      </c>
      <c r="B46" s="437">
        <v>11.27</v>
      </c>
      <c r="C46" s="208" t="s">
        <v>238</v>
      </c>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row>
    <row r="47" spans="1:30">
      <c r="A47" s="409" t="s">
        <v>580</v>
      </c>
      <c r="B47" s="339">
        <v>8.31</v>
      </c>
      <c r="C47" s="208" t="s">
        <v>238</v>
      </c>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row>
    <row r="48" spans="1:30">
      <c r="A48" s="207" t="s">
        <v>738</v>
      </c>
      <c r="B48" s="339">
        <v>9.75</v>
      </c>
      <c r="C48" s="208" t="s">
        <v>238</v>
      </c>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row>
    <row r="49" spans="1:30">
      <c r="A49" s="207" t="s">
        <v>733</v>
      </c>
      <c r="B49" s="476">
        <v>5.68</v>
      </c>
      <c r="C49" s="208" t="s">
        <v>238</v>
      </c>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row>
    <row r="50" spans="1:30">
      <c r="A50" s="207" t="s">
        <v>736</v>
      </c>
      <c r="B50" s="339">
        <v>5.75</v>
      </c>
      <c r="C50" s="145" t="s">
        <v>238</v>
      </c>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row>
    <row r="51" spans="1:30">
      <c r="A51" s="207" t="s">
        <v>737</v>
      </c>
      <c r="B51" s="339">
        <v>9.4499999999999993</v>
      </c>
      <c r="C51" s="145" t="s">
        <v>238</v>
      </c>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row>
    <row r="52" spans="1:30">
      <c r="A52" s="207" t="s">
        <v>103</v>
      </c>
      <c r="B52" s="437">
        <v>4.5</v>
      </c>
      <c r="C52" s="145" t="s">
        <v>238</v>
      </c>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row>
    <row r="53" spans="1:30" ht="13.5" thickBot="1">
      <c r="A53" s="109" t="s">
        <v>14</v>
      </c>
      <c r="B53" s="340">
        <v>5.4440000000000002E-2</v>
      </c>
      <c r="C53" s="146" t="s">
        <v>167</v>
      </c>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row>
    <row r="54" spans="1:30">
      <c r="A54" s="1363"/>
      <c r="B54" s="1363"/>
      <c r="C54" s="1363"/>
      <c r="D54" s="1363"/>
      <c r="E54" s="1363"/>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row>
    <row r="55" spans="1:30" ht="14.25">
      <c r="A55" s="161" t="s">
        <v>261</v>
      </c>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row>
    <row r="56" spans="1:30" ht="13.5" thickBot="1">
      <c r="A56" s="991" t="s">
        <v>1341</v>
      </c>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row>
    <row r="57" spans="1:30" ht="27.75" thickBot="1">
      <c r="A57" s="430" t="s">
        <v>135</v>
      </c>
      <c r="B57" s="422" t="s">
        <v>192</v>
      </c>
      <c r="C57" s="193" t="s">
        <v>257</v>
      </c>
      <c r="D57" s="324" t="s">
        <v>258</v>
      </c>
      <c r="E57" s="1364" t="s">
        <v>396</v>
      </c>
      <c r="F57" s="1333"/>
      <c r="G57" s="1333"/>
      <c r="H57" s="1334"/>
      <c r="I57" s="162"/>
      <c r="J57" s="162"/>
      <c r="K57" s="162"/>
      <c r="L57" s="162"/>
      <c r="M57" s="162"/>
      <c r="N57" s="162"/>
      <c r="O57" s="162"/>
      <c r="P57" s="162"/>
      <c r="Q57" s="162"/>
      <c r="R57" s="162"/>
      <c r="S57" s="162"/>
      <c r="T57" s="162"/>
      <c r="U57" s="162"/>
      <c r="V57" s="162"/>
      <c r="W57" s="162"/>
      <c r="X57" s="162"/>
      <c r="Y57" s="162"/>
      <c r="Z57" s="162"/>
      <c r="AA57" s="162"/>
      <c r="AB57" s="162"/>
      <c r="AC57" s="162"/>
      <c r="AD57" s="162"/>
    </row>
    <row r="58" spans="1:30">
      <c r="A58" s="50" t="s">
        <v>131</v>
      </c>
      <c r="B58" s="647" t="s">
        <v>1024</v>
      </c>
      <c r="C58" s="859">
        <v>7.0400000000000004E-2</v>
      </c>
      <c r="D58" s="860">
        <v>6.4699999999999994E-2</v>
      </c>
      <c r="E58" s="1360"/>
      <c r="F58" s="1361"/>
      <c r="G58" s="1361"/>
      <c r="H58" s="1362"/>
      <c r="I58" s="774"/>
      <c r="J58" s="774"/>
      <c r="K58" s="774"/>
      <c r="L58" s="162"/>
      <c r="M58" s="162"/>
      <c r="N58" s="162"/>
      <c r="O58" s="162"/>
      <c r="P58" s="162"/>
      <c r="Q58" s="162"/>
      <c r="R58" s="162"/>
      <c r="S58" s="162"/>
      <c r="T58" s="162"/>
      <c r="U58" s="162"/>
      <c r="V58" s="162"/>
      <c r="W58" s="162"/>
      <c r="X58" s="162"/>
      <c r="Y58" s="162"/>
      <c r="Z58" s="162"/>
      <c r="AA58" s="162"/>
      <c r="AB58" s="162"/>
      <c r="AC58" s="162"/>
      <c r="AD58" s="162"/>
    </row>
    <row r="59" spans="1:30">
      <c r="A59" s="53"/>
      <c r="B59" s="54">
        <v>1994</v>
      </c>
      <c r="C59" s="203">
        <v>6.1699999999999998E-2</v>
      </c>
      <c r="D59" s="326">
        <v>6.0299999999999999E-2</v>
      </c>
      <c r="E59" s="1347"/>
      <c r="F59" s="1348"/>
      <c r="G59" s="1348"/>
      <c r="H59" s="1349"/>
      <c r="I59" s="774"/>
      <c r="J59" s="774"/>
      <c r="K59" s="774"/>
      <c r="L59" s="162"/>
      <c r="M59" s="162"/>
      <c r="N59" s="162"/>
      <c r="O59" s="162"/>
      <c r="P59" s="162"/>
      <c r="Q59" s="162"/>
      <c r="R59" s="162"/>
      <c r="S59" s="162"/>
      <c r="T59" s="162"/>
      <c r="U59" s="162"/>
      <c r="V59" s="162"/>
      <c r="W59" s="162"/>
      <c r="X59" s="162"/>
      <c r="Y59" s="162"/>
      <c r="Z59" s="162"/>
      <c r="AA59" s="162"/>
      <c r="AB59" s="162"/>
      <c r="AC59" s="162"/>
      <c r="AD59" s="162"/>
    </row>
    <row r="60" spans="1:30">
      <c r="A60" s="53"/>
      <c r="B60" s="54">
        <v>1995</v>
      </c>
      <c r="C60" s="203">
        <v>5.3100000000000001E-2</v>
      </c>
      <c r="D60" s="326">
        <v>5.6000000000000001E-2</v>
      </c>
      <c r="E60" s="1347"/>
      <c r="F60" s="1348"/>
      <c r="G60" s="1348"/>
      <c r="H60" s="1349"/>
      <c r="I60" s="774"/>
      <c r="J60" s="774"/>
      <c r="K60" s="774"/>
      <c r="L60" s="162"/>
      <c r="M60" s="162"/>
      <c r="N60" s="162"/>
      <c r="O60" s="162"/>
      <c r="P60" s="162"/>
      <c r="Q60" s="162"/>
      <c r="R60" s="162"/>
      <c r="S60" s="162"/>
      <c r="T60" s="162"/>
      <c r="U60" s="162"/>
      <c r="V60" s="162"/>
      <c r="W60" s="162"/>
      <c r="X60" s="162"/>
      <c r="Y60" s="162"/>
      <c r="Z60" s="162"/>
      <c r="AA60" s="162"/>
      <c r="AB60" s="162"/>
      <c r="AC60" s="162"/>
      <c r="AD60" s="162"/>
    </row>
    <row r="61" spans="1:30">
      <c r="A61" s="53"/>
      <c r="B61" s="54">
        <v>1996</v>
      </c>
      <c r="C61" s="203">
        <v>4.3400000000000001E-2</v>
      </c>
      <c r="D61" s="326">
        <v>5.0299999999999997E-2</v>
      </c>
      <c r="E61" s="1347"/>
      <c r="F61" s="1348"/>
      <c r="G61" s="1348"/>
      <c r="H61" s="1349"/>
      <c r="I61" s="774"/>
      <c r="J61" s="774"/>
      <c r="K61" s="774"/>
      <c r="L61" s="162"/>
      <c r="M61" s="162"/>
      <c r="N61" s="162"/>
      <c r="O61" s="162"/>
      <c r="P61" s="162"/>
      <c r="Q61" s="162"/>
      <c r="R61" s="162"/>
      <c r="S61" s="162"/>
      <c r="T61" s="162"/>
      <c r="U61" s="162"/>
      <c r="V61" s="162"/>
      <c r="W61" s="162"/>
      <c r="X61" s="162"/>
      <c r="Y61" s="162"/>
      <c r="Z61" s="162"/>
      <c r="AA61" s="162"/>
      <c r="AB61" s="162"/>
      <c r="AC61" s="162"/>
      <c r="AD61" s="162"/>
    </row>
    <row r="62" spans="1:30">
      <c r="A62" s="53"/>
      <c r="B62" s="54">
        <v>1997</v>
      </c>
      <c r="C62" s="203">
        <v>3.3700000000000001E-2</v>
      </c>
      <c r="D62" s="326">
        <v>4.4600000000000001E-2</v>
      </c>
      <c r="E62" s="1347"/>
      <c r="F62" s="1348"/>
      <c r="G62" s="1348"/>
      <c r="H62" s="1349"/>
      <c r="I62" s="774"/>
      <c r="J62" s="774"/>
      <c r="K62" s="774"/>
      <c r="L62" s="162"/>
      <c r="M62" s="162"/>
      <c r="N62" s="162"/>
      <c r="O62" s="162"/>
      <c r="P62" s="162"/>
      <c r="Q62" s="162"/>
      <c r="R62" s="162"/>
      <c r="S62" s="162"/>
      <c r="T62" s="162"/>
      <c r="U62" s="162"/>
      <c r="V62" s="162"/>
      <c r="W62" s="162"/>
      <c r="X62" s="162"/>
      <c r="Y62" s="162"/>
      <c r="Z62" s="162"/>
      <c r="AA62" s="162"/>
      <c r="AB62" s="162"/>
      <c r="AC62" s="162"/>
      <c r="AD62" s="162"/>
    </row>
    <row r="63" spans="1:30">
      <c r="A63" s="53"/>
      <c r="B63" s="54">
        <v>1998</v>
      </c>
      <c r="C63" s="203">
        <v>2.4E-2</v>
      </c>
      <c r="D63" s="326">
        <v>3.8899999999999997E-2</v>
      </c>
      <c r="E63" s="1347"/>
      <c r="F63" s="1348"/>
      <c r="G63" s="1348"/>
      <c r="H63" s="1349"/>
      <c r="I63" s="774"/>
      <c r="J63" s="774"/>
      <c r="K63" s="774"/>
      <c r="L63" s="162"/>
      <c r="M63" s="162"/>
      <c r="N63" s="162"/>
      <c r="O63" s="162"/>
      <c r="P63" s="162"/>
      <c r="Q63" s="162"/>
      <c r="R63" s="162"/>
      <c r="S63" s="162"/>
      <c r="T63" s="162"/>
      <c r="U63" s="162"/>
      <c r="V63" s="162"/>
      <c r="W63" s="162"/>
      <c r="X63" s="162"/>
      <c r="Y63" s="162"/>
      <c r="Z63" s="162"/>
      <c r="AA63" s="162"/>
      <c r="AB63" s="162"/>
      <c r="AC63" s="162"/>
      <c r="AD63" s="162"/>
    </row>
    <row r="64" spans="1:30">
      <c r="A64" s="53"/>
      <c r="B64" s="54">
        <v>1999</v>
      </c>
      <c r="C64" s="203">
        <v>2.1499999999999998E-2</v>
      </c>
      <c r="D64" s="326">
        <v>3.5499999999999997E-2</v>
      </c>
      <c r="E64" s="1347"/>
      <c r="F64" s="1348"/>
      <c r="G64" s="1348"/>
      <c r="H64" s="1349"/>
      <c r="I64" s="774"/>
      <c r="J64" s="774"/>
      <c r="K64" s="774"/>
      <c r="L64" s="162"/>
      <c r="M64" s="162"/>
      <c r="N64" s="162"/>
      <c r="O64" s="162"/>
      <c r="P64" s="162"/>
      <c r="Q64" s="162"/>
      <c r="R64" s="162"/>
      <c r="S64" s="162"/>
      <c r="T64" s="162"/>
      <c r="U64" s="162"/>
      <c r="V64" s="162"/>
      <c r="W64" s="162"/>
      <c r="X64" s="162"/>
      <c r="Y64" s="162"/>
      <c r="Z64" s="162"/>
      <c r="AA64" s="162"/>
      <c r="AB64" s="162"/>
      <c r="AC64" s="162"/>
      <c r="AD64" s="162"/>
    </row>
    <row r="65" spans="1:30">
      <c r="A65" s="53"/>
      <c r="B65" s="54">
        <v>2000</v>
      </c>
      <c r="C65" s="203">
        <v>1.7500000000000002E-2</v>
      </c>
      <c r="D65" s="326">
        <v>3.04E-2</v>
      </c>
      <c r="E65" s="1347"/>
      <c r="F65" s="1348"/>
      <c r="G65" s="1348"/>
      <c r="H65" s="1349"/>
      <c r="I65" s="774"/>
      <c r="J65" s="774"/>
      <c r="K65" s="774"/>
      <c r="L65" s="162"/>
      <c r="M65" s="162"/>
      <c r="N65" s="162"/>
      <c r="O65" s="162"/>
      <c r="P65" s="162"/>
      <c r="Q65" s="162"/>
      <c r="R65" s="162"/>
      <c r="S65" s="162"/>
      <c r="T65" s="162"/>
      <c r="U65" s="162"/>
      <c r="V65" s="162"/>
      <c r="W65" s="162"/>
      <c r="X65" s="162"/>
      <c r="Y65" s="162"/>
      <c r="Z65" s="162"/>
      <c r="AA65" s="162"/>
      <c r="AB65" s="162"/>
      <c r="AC65" s="162"/>
      <c r="AD65" s="162"/>
    </row>
    <row r="66" spans="1:30">
      <c r="A66" s="53"/>
      <c r="B66" s="54">
        <v>2001</v>
      </c>
      <c r="C66" s="203">
        <v>1.0500000000000001E-2</v>
      </c>
      <c r="D66" s="326">
        <v>2.12E-2</v>
      </c>
      <c r="E66" s="1347"/>
      <c r="F66" s="1348"/>
      <c r="G66" s="1348"/>
      <c r="H66" s="1349"/>
      <c r="I66" s="774"/>
      <c r="J66" s="774"/>
      <c r="K66" s="774"/>
      <c r="L66" s="162"/>
      <c r="M66" s="162"/>
      <c r="N66" s="162"/>
      <c r="O66" s="162"/>
      <c r="P66" s="162"/>
      <c r="Q66" s="162"/>
      <c r="R66" s="162"/>
      <c r="S66" s="162"/>
      <c r="T66" s="162"/>
      <c r="U66" s="162"/>
      <c r="V66" s="162"/>
      <c r="W66" s="162"/>
      <c r="X66" s="162"/>
      <c r="Y66" s="162"/>
      <c r="Z66" s="162"/>
      <c r="AA66" s="162"/>
      <c r="AB66" s="162"/>
      <c r="AC66" s="162"/>
      <c r="AD66" s="162"/>
    </row>
    <row r="67" spans="1:30">
      <c r="A67" s="53"/>
      <c r="B67" s="54">
        <v>2002</v>
      </c>
      <c r="C67" s="203">
        <v>1.0200000000000001E-2</v>
      </c>
      <c r="D67" s="326">
        <v>2.07E-2</v>
      </c>
      <c r="E67" s="1347"/>
      <c r="F67" s="1348"/>
      <c r="G67" s="1348"/>
      <c r="H67" s="1349"/>
      <c r="I67" s="774"/>
      <c r="J67" s="774"/>
      <c r="K67" s="774"/>
      <c r="L67" s="162"/>
      <c r="M67" s="162"/>
      <c r="N67" s="162"/>
      <c r="O67" s="162"/>
      <c r="P67" s="162"/>
      <c r="Q67" s="162"/>
      <c r="R67" s="162"/>
      <c r="S67" s="162"/>
      <c r="T67" s="162"/>
      <c r="U67" s="162"/>
      <c r="V67" s="162"/>
      <c r="W67" s="162"/>
      <c r="X67" s="162"/>
      <c r="Y67" s="162"/>
      <c r="Z67" s="162"/>
      <c r="AA67" s="162"/>
      <c r="AB67" s="162"/>
      <c r="AC67" s="162"/>
      <c r="AD67" s="162"/>
    </row>
    <row r="68" spans="1:30">
      <c r="A68" s="438"/>
      <c r="B68" s="439">
        <v>2003</v>
      </c>
      <c r="C68" s="441">
        <v>9.4999999999999998E-3</v>
      </c>
      <c r="D68" s="442">
        <v>1.8100000000000002E-2</v>
      </c>
      <c r="E68" s="1298"/>
      <c r="F68" s="1299"/>
      <c r="G68" s="1299"/>
      <c r="H68" s="1300"/>
      <c r="I68" s="774"/>
      <c r="J68" s="774"/>
      <c r="K68" s="774"/>
      <c r="L68" s="162"/>
      <c r="M68" s="162"/>
      <c r="N68" s="162"/>
      <c r="O68" s="162"/>
      <c r="P68" s="162"/>
      <c r="Q68" s="162"/>
      <c r="R68" s="162"/>
      <c r="S68" s="162"/>
      <c r="T68" s="162"/>
      <c r="U68" s="162"/>
      <c r="V68" s="162"/>
      <c r="W68" s="162"/>
      <c r="X68" s="162"/>
      <c r="Y68" s="162"/>
      <c r="Z68" s="162"/>
      <c r="AA68" s="162"/>
      <c r="AB68" s="162"/>
      <c r="AC68" s="162"/>
      <c r="AD68" s="162"/>
    </row>
    <row r="69" spans="1:30">
      <c r="A69" s="438"/>
      <c r="B69" s="439">
        <v>2004</v>
      </c>
      <c r="C69" s="441">
        <v>7.7999999999999996E-3</v>
      </c>
      <c r="D69" s="442">
        <v>8.5000000000000006E-3</v>
      </c>
      <c r="E69" s="1298"/>
      <c r="F69" s="1299"/>
      <c r="G69" s="1299"/>
      <c r="H69" s="1300"/>
      <c r="I69" s="774"/>
      <c r="J69" s="774"/>
      <c r="K69" s="774"/>
      <c r="L69" s="162"/>
      <c r="M69" s="162"/>
      <c r="N69" s="162"/>
      <c r="O69" s="162"/>
      <c r="P69" s="162"/>
      <c r="Q69" s="162"/>
      <c r="R69" s="162"/>
      <c r="S69" s="162"/>
      <c r="T69" s="162"/>
      <c r="U69" s="162"/>
      <c r="V69" s="162"/>
      <c r="W69" s="162"/>
      <c r="X69" s="162"/>
      <c r="Y69" s="162"/>
      <c r="Z69" s="162"/>
      <c r="AA69" s="162"/>
      <c r="AB69" s="162"/>
      <c r="AC69" s="162"/>
      <c r="AD69" s="162"/>
    </row>
    <row r="70" spans="1:30">
      <c r="A70" s="438"/>
      <c r="B70" s="440">
        <v>2005</v>
      </c>
      <c r="C70" s="441">
        <v>7.4999999999999997E-3</v>
      </c>
      <c r="D70" s="442">
        <v>6.7000000000000002E-3</v>
      </c>
      <c r="E70" s="1298"/>
      <c r="F70" s="1299"/>
      <c r="G70" s="1299"/>
      <c r="H70" s="1300"/>
      <c r="I70" s="774"/>
      <c r="J70" s="774"/>
      <c r="K70" s="774"/>
      <c r="L70" s="162"/>
      <c r="M70" s="162"/>
      <c r="N70" s="162"/>
      <c r="O70" s="162"/>
      <c r="P70" s="162"/>
      <c r="Q70" s="162"/>
      <c r="R70" s="162"/>
      <c r="S70" s="162"/>
      <c r="T70" s="162"/>
      <c r="U70" s="162"/>
      <c r="V70" s="162"/>
      <c r="W70" s="162"/>
      <c r="X70" s="162"/>
      <c r="Y70" s="162"/>
      <c r="Z70" s="162"/>
      <c r="AA70" s="162"/>
      <c r="AB70" s="162"/>
      <c r="AC70" s="162"/>
      <c r="AD70" s="162"/>
    </row>
    <row r="71" spans="1:30">
      <c r="A71" s="438"/>
      <c r="B71" s="440">
        <v>2006</v>
      </c>
      <c r="C71" s="441">
        <v>7.6E-3</v>
      </c>
      <c r="D71" s="442">
        <v>7.4999999999999997E-3</v>
      </c>
      <c r="E71" s="1298"/>
      <c r="F71" s="1299"/>
      <c r="G71" s="1299"/>
      <c r="H71" s="1300"/>
      <c r="I71" s="774"/>
      <c r="J71" s="774"/>
      <c r="K71" s="774"/>
      <c r="L71" s="162"/>
      <c r="M71" s="162"/>
      <c r="N71" s="162"/>
      <c r="O71" s="162"/>
      <c r="P71" s="162"/>
      <c r="Q71" s="162"/>
      <c r="R71" s="162"/>
      <c r="S71" s="162"/>
      <c r="T71" s="162"/>
      <c r="U71" s="162"/>
      <c r="V71" s="162"/>
      <c r="W71" s="162"/>
      <c r="X71" s="162"/>
      <c r="Y71" s="162"/>
      <c r="Z71" s="162"/>
      <c r="AA71" s="162"/>
      <c r="AB71" s="162"/>
      <c r="AC71" s="162"/>
      <c r="AD71" s="162"/>
    </row>
    <row r="72" spans="1:30">
      <c r="A72" s="438"/>
      <c r="B72" s="440">
        <v>2007</v>
      </c>
      <c r="C72" s="441">
        <v>7.1999999999999998E-3</v>
      </c>
      <c r="D72" s="442">
        <v>5.1999999999999998E-3</v>
      </c>
      <c r="E72" s="1298"/>
      <c r="F72" s="1299"/>
      <c r="G72" s="1299"/>
      <c r="H72" s="1300"/>
      <c r="I72" s="774"/>
      <c r="J72" s="774"/>
      <c r="K72" s="774"/>
      <c r="L72" s="162"/>
      <c r="M72" s="162"/>
      <c r="N72" s="162"/>
      <c r="O72" s="162"/>
      <c r="P72" s="162"/>
      <c r="Q72" s="162"/>
      <c r="R72" s="162"/>
      <c r="S72" s="162"/>
      <c r="T72" s="162"/>
      <c r="U72" s="162"/>
      <c r="V72" s="162"/>
      <c r="W72" s="162"/>
      <c r="X72" s="162"/>
      <c r="Y72" s="162"/>
      <c r="Z72" s="162"/>
      <c r="AA72" s="162"/>
      <c r="AB72" s="162"/>
      <c r="AC72" s="162"/>
      <c r="AD72" s="162"/>
    </row>
    <row r="73" spans="1:30">
      <c r="A73" s="438"/>
      <c r="B73" s="440">
        <v>2008</v>
      </c>
      <c r="C73" s="441">
        <v>7.1999999999999998E-3</v>
      </c>
      <c r="D73" s="442">
        <v>4.8999999999999998E-3</v>
      </c>
      <c r="E73" s="1298"/>
      <c r="F73" s="1299"/>
      <c r="G73" s="1299"/>
      <c r="H73" s="1300"/>
      <c r="I73" s="774"/>
      <c r="J73" s="774"/>
      <c r="K73" s="774"/>
      <c r="L73" s="162"/>
      <c r="M73" s="162"/>
      <c r="N73" s="162"/>
      <c r="O73" s="162"/>
      <c r="P73" s="162"/>
      <c r="Q73" s="162"/>
      <c r="R73" s="162"/>
      <c r="S73" s="162"/>
      <c r="T73" s="162"/>
      <c r="U73" s="162"/>
      <c r="V73" s="162"/>
      <c r="W73" s="162"/>
      <c r="X73" s="162"/>
      <c r="Y73" s="162"/>
      <c r="Z73" s="162"/>
      <c r="AA73" s="162"/>
      <c r="AB73" s="162"/>
      <c r="AC73" s="162"/>
      <c r="AD73" s="162"/>
    </row>
    <row r="74" spans="1:30">
      <c r="A74" s="438"/>
      <c r="B74" s="659">
        <v>2009</v>
      </c>
      <c r="C74" s="660">
        <v>7.1000000000000004E-3</v>
      </c>
      <c r="D74" s="661">
        <v>4.5999999999999999E-3</v>
      </c>
      <c r="E74" s="1298"/>
      <c r="F74" s="1299"/>
      <c r="G74" s="1299"/>
      <c r="H74" s="1300"/>
      <c r="I74" s="774"/>
      <c r="J74" s="774"/>
      <c r="K74" s="774"/>
      <c r="L74" s="162"/>
      <c r="M74" s="162"/>
      <c r="N74" s="162"/>
      <c r="O74" s="162"/>
      <c r="P74" s="162"/>
      <c r="Q74" s="162"/>
      <c r="R74" s="162"/>
      <c r="S74" s="162"/>
      <c r="T74" s="162"/>
      <c r="U74" s="162"/>
      <c r="V74" s="162"/>
      <c r="W74" s="162"/>
      <c r="X74" s="162"/>
      <c r="Y74" s="162"/>
      <c r="Z74" s="162"/>
      <c r="AA74" s="162"/>
      <c r="AB74" s="162"/>
      <c r="AC74" s="162"/>
      <c r="AD74" s="162"/>
    </row>
    <row r="75" spans="1:30">
      <c r="A75" s="438"/>
      <c r="B75" s="659">
        <v>2010</v>
      </c>
      <c r="C75" s="660">
        <v>7.1000000000000004E-3</v>
      </c>
      <c r="D75" s="661">
        <v>4.5999999999999999E-3</v>
      </c>
      <c r="E75" s="1298"/>
      <c r="F75" s="1299"/>
      <c r="G75" s="1299"/>
      <c r="H75" s="1300"/>
      <c r="I75" s="774"/>
      <c r="J75" s="774"/>
      <c r="K75" s="774"/>
      <c r="L75" s="162"/>
      <c r="M75" s="162"/>
      <c r="N75" s="162"/>
      <c r="O75" s="162"/>
      <c r="P75" s="162"/>
      <c r="Q75" s="162"/>
      <c r="R75" s="162"/>
      <c r="S75" s="162"/>
      <c r="T75" s="162"/>
      <c r="U75" s="162"/>
      <c r="V75" s="162"/>
      <c r="W75" s="162"/>
      <c r="X75" s="162"/>
      <c r="Y75" s="162"/>
      <c r="Z75" s="162"/>
      <c r="AA75" s="162"/>
      <c r="AB75" s="162"/>
      <c r="AC75" s="162"/>
      <c r="AD75" s="162"/>
    </row>
    <row r="76" spans="1:30">
      <c r="A76" s="438"/>
      <c r="B76" s="659">
        <v>2011</v>
      </c>
      <c r="C76" s="660">
        <v>7.1000000000000004E-3</v>
      </c>
      <c r="D76" s="661">
        <v>4.5999999999999999E-3</v>
      </c>
      <c r="E76" s="1298"/>
      <c r="F76" s="1299"/>
      <c r="G76" s="1299"/>
      <c r="H76" s="1300"/>
      <c r="I76" s="774"/>
      <c r="J76" s="774"/>
      <c r="K76" s="774"/>
      <c r="L76" s="162"/>
      <c r="M76" s="162"/>
      <c r="N76" s="162"/>
      <c r="O76" s="162"/>
      <c r="P76" s="162"/>
      <c r="Q76" s="162"/>
      <c r="R76" s="162"/>
      <c r="S76" s="162"/>
      <c r="T76" s="162"/>
      <c r="U76" s="162"/>
      <c r="V76" s="162"/>
      <c r="W76" s="162"/>
      <c r="X76" s="162"/>
      <c r="Y76" s="162"/>
      <c r="Z76" s="162"/>
      <c r="AA76" s="162"/>
      <c r="AB76" s="162"/>
      <c r="AC76" s="162"/>
      <c r="AD76" s="162"/>
    </row>
    <row r="77" spans="1:30">
      <c r="A77" s="438"/>
      <c r="B77" s="659">
        <v>2012</v>
      </c>
      <c r="C77" s="660">
        <v>7.1000000000000004E-3</v>
      </c>
      <c r="D77" s="661">
        <v>4.5999999999999999E-3</v>
      </c>
      <c r="E77" s="1298"/>
      <c r="F77" s="1299"/>
      <c r="G77" s="1299"/>
      <c r="H77" s="1300"/>
      <c r="I77" s="774"/>
      <c r="J77" s="774"/>
      <c r="K77" s="774"/>
      <c r="L77" s="162"/>
      <c r="M77" s="162"/>
      <c r="N77" s="162"/>
      <c r="O77" s="162"/>
      <c r="P77" s="162"/>
      <c r="Q77" s="162"/>
      <c r="R77" s="162"/>
      <c r="S77" s="162"/>
      <c r="T77" s="162"/>
      <c r="U77" s="162"/>
      <c r="V77" s="162"/>
      <c r="W77" s="162"/>
      <c r="X77" s="162"/>
      <c r="Y77" s="162"/>
      <c r="Z77" s="162"/>
      <c r="AA77" s="162"/>
      <c r="AB77" s="162"/>
      <c r="AC77" s="162"/>
      <c r="AD77" s="162"/>
    </row>
    <row r="78" spans="1:30">
      <c r="A78" s="438"/>
      <c r="B78" s="659">
        <v>2013</v>
      </c>
      <c r="C78" s="660">
        <v>7.1000000000000004E-3</v>
      </c>
      <c r="D78" s="661">
        <v>4.5999999999999999E-3</v>
      </c>
      <c r="E78" s="1298"/>
      <c r="F78" s="1299"/>
      <c r="G78" s="1299"/>
      <c r="H78" s="1300"/>
      <c r="I78" s="774"/>
      <c r="J78" s="774"/>
      <c r="K78" s="774"/>
      <c r="L78" s="162"/>
      <c r="M78" s="162"/>
      <c r="N78" s="162"/>
      <c r="O78" s="162"/>
      <c r="P78" s="162"/>
      <c r="Q78" s="162"/>
      <c r="R78" s="162"/>
      <c r="S78" s="162"/>
      <c r="T78" s="162"/>
      <c r="U78" s="162"/>
      <c r="V78" s="162"/>
      <c r="W78" s="162"/>
      <c r="X78" s="162"/>
      <c r="Y78" s="162"/>
      <c r="Z78" s="162"/>
      <c r="AA78" s="162"/>
      <c r="AB78" s="162"/>
      <c r="AC78" s="162"/>
      <c r="AD78" s="162"/>
    </row>
    <row r="79" spans="1:30">
      <c r="A79" s="438"/>
      <c r="B79" s="659">
        <v>2014</v>
      </c>
      <c r="C79" s="660">
        <v>7.1000000000000004E-3</v>
      </c>
      <c r="D79" s="661">
        <v>4.5999999999999999E-3</v>
      </c>
      <c r="E79" s="1298"/>
      <c r="F79" s="1299"/>
      <c r="G79" s="1299"/>
      <c r="H79" s="1300"/>
      <c r="I79" s="774"/>
      <c r="J79" s="774"/>
      <c r="K79" s="774"/>
      <c r="L79" s="162"/>
      <c r="M79" s="162"/>
      <c r="N79" s="162"/>
      <c r="O79" s="162"/>
      <c r="P79" s="162"/>
      <c r="Q79" s="162"/>
      <c r="R79" s="162"/>
      <c r="S79" s="162"/>
      <c r="T79" s="162"/>
      <c r="U79" s="162"/>
      <c r="V79" s="162"/>
      <c r="W79" s="162"/>
      <c r="X79" s="162"/>
      <c r="Y79" s="162"/>
      <c r="Z79" s="162"/>
      <c r="AA79" s="162"/>
      <c r="AB79" s="162"/>
      <c r="AC79" s="162"/>
      <c r="AD79" s="162"/>
    </row>
    <row r="80" spans="1:30">
      <c r="A80" s="438"/>
      <c r="B80" s="659">
        <v>2015</v>
      </c>
      <c r="C80" s="660">
        <v>6.7999999999999996E-3</v>
      </c>
      <c r="D80" s="661">
        <v>4.1999999999999997E-3</v>
      </c>
      <c r="E80" s="1298"/>
      <c r="F80" s="1299"/>
      <c r="G80" s="1299"/>
      <c r="H80" s="1300"/>
      <c r="I80" s="774"/>
      <c r="J80" s="774"/>
      <c r="K80" s="774"/>
      <c r="L80" s="162"/>
      <c r="M80" s="162"/>
      <c r="N80" s="162"/>
      <c r="O80" s="162"/>
      <c r="P80" s="162"/>
      <c r="Q80" s="162"/>
      <c r="R80" s="162"/>
      <c r="S80" s="162"/>
      <c r="T80" s="162"/>
      <c r="U80" s="162"/>
      <c r="V80" s="162"/>
      <c r="W80" s="162"/>
      <c r="X80" s="162"/>
      <c r="Y80" s="162"/>
      <c r="Z80" s="162"/>
      <c r="AA80" s="162"/>
      <c r="AB80" s="162"/>
      <c r="AC80" s="162"/>
      <c r="AD80" s="162"/>
    </row>
    <row r="81" spans="1:30">
      <c r="A81" s="438"/>
      <c r="B81" s="659">
        <v>2016</v>
      </c>
      <c r="C81" s="660">
        <v>6.4999999999999997E-3</v>
      </c>
      <c r="D81" s="661">
        <v>3.8E-3</v>
      </c>
      <c r="E81" s="1298"/>
      <c r="F81" s="1299"/>
      <c r="G81" s="1299"/>
      <c r="H81" s="1300"/>
      <c r="I81" s="774"/>
      <c r="J81" s="774"/>
      <c r="K81" s="774"/>
      <c r="L81" s="162"/>
      <c r="M81" s="162"/>
      <c r="N81" s="162"/>
      <c r="O81" s="162"/>
      <c r="P81" s="162"/>
      <c r="Q81" s="162"/>
      <c r="R81" s="162"/>
      <c r="S81" s="162"/>
      <c r="T81" s="162"/>
      <c r="U81" s="162"/>
      <c r="V81" s="162"/>
      <c r="W81" s="162"/>
      <c r="X81" s="162"/>
      <c r="Y81" s="162"/>
      <c r="Z81" s="162"/>
      <c r="AA81" s="162"/>
      <c r="AB81" s="162"/>
      <c r="AC81" s="162"/>
      <c r="AD81" s="162"/>
    </row>
    <row r="82" spans="1:30">
      <c r="A82" s="438"/>
      <c r="B82" s="659">
        <v>2017</v>
      </c>
      <c r="C82" s="660">
        <v>5.4000000000000003E-3</v>
      </c>
      <c r="D82" s="661">
        <v>1.8E-3</v>
      </c>
      <c r="E82" s="1298"/>
      <c r="F82" s="1299"/>
      <c r="G82" s="1299"/>
      <c r="H82" s="1300"/>
      <c r="I82" s="774"/>
      <c r="J82" s="774"/>
      <c r="K82" s="774"/>
      <c r="L82" s="162"/>
      <c r="M82" s="162"/>
      <c r="N82" s="162"/>
      <c r="O82" s="162"/>
      <c r="P82" s="162"/>
      <c r="Q82" s="162"/>
      <c r="R82" s="162"/>
      <c r="S82" s="162"/>
      <c r="T82" s="162"/>
      <c r="U82" s="162"/>
      <c r="V82" s="162"/>
      <c r="W82" s="162"/>
      <c r="X82" s="162"/>
      <c r="Y82" s="162"/>
      <c r="Z82" s="162"/>
      <c r="AA82" s="162"/>
      <c r="AB82" s="162"/>
      <c r="AC82" s="162"/>
      <c r="AD82" s="162"/>
    </row>
    <row r="83" spans="1:30">
      <c r="A83" s="438"/>
      <c r="B83" s="659">
        <v>2018</v>
      </c>
      <c r="C83" s="660">
        <v>5.1999999999999998E-3</v>
      </c>
      <c r="D83" s="661">
        <v>1.6000000000000001E-3</v>
      </c>
      <c r="E83" s="1298"/>
      <c r="F83" s="1299"/>
      <c r="G83" s="1299"/>
      <c r="H83" s="1300"/>
      <c r="I83" s="774"/>
      <c r="J83" s="774"/>
      <c r="K83" s="774"/>
      <c r="L83" s="162"/>
      <c r="M83" s="162"/>
      <c r="N83" s="162"/>
      <c r="O83" s="162"/>
      <c r="P83" s="162"/>
      <c r="Q83" s="162"/>
      <c r="R83" s="162"/>
      <c r="S83" s="162"/>
      <c r="T83" s="162"/>
      <c r="U83" s="162"/>
      <c r="V83" s="162"/>
      <c r="W83" s="162"/>
      <c r="X83" s="162"/>
      <c r="Y83" s="162"/>
      <c r="Z83" s="162"/>
      <c r="AA83" s="162"/>
      <c r="AB83" s="162"/>
      <c r="AC83" s="162"/>
      <c r="AD83" s="162"/>
    </row>
    <row r="84" spans="1:30">
      <c r="A84" s="438"/>
      <c r="B84" s="1064">
        <v>2019</v>
      </c>
      <c r="C84" s="1065">
        <v>5.1000000000000004E-3</v>
      </c>
      <c r="D84" s="1066">
        <v>1.5E-3</v>
      </c>
      <c r="E84" s="1298"/>
      <c r="F84" s="1299"/>
      <c r="G84" s="1299"/>
      <c r="H84" s="1300"/>
      <c r="I84" s="774"/>
      <c r="J84" s="774"/>
      <c r="K84" s="774"/>
      <c r="L84" s="162"/>
      <c r="M84" s="162"/>
      <c r="N84" s="162"/>
      <c r="O84" s="162"/>
      <c r="P84" s="162"/>
      <c r="Q84" s="162"/>
      <c r="R84" s="162"/>
      <c r="S84" s="162"/>
      <c r="T84" s="162"/>
      <c r="U84" s="162"/>
      <c r="V84" s="162"/>
      <c r="W84" s="162"/>
      <c r="X84" s="162"/>
      <c r="Y84" s="162"/>
      <c r="Z84" s="162"/>
      <c r="AA84" s="162"/>
      <c r="AB84" s="162"/>
      <c r="AC84" s="162"/>
      <c r="AD84" s="162"/>
    </row>
    <row r="85" spans="1:30">
      <c r="A85" s="438"/>
      <c r="B85" s="1064">
        <v>2020</v>
      </c>
      <c r="C85" s="1065">
        <v>5.0000000000000001E-3</v>
      </c>
      <c r="D85" s="1066">
        <v>1.4E-3</v>
      </c>
      <c r="E85" s="1298"/>
      <c r="F85" s="1299"/>
      <c r="G85" s="1299"/>
      <c r="H85" s="1300"/>
      <c r="I85" s="774"/>
      <c r="J85" s="774"/>
      <c r="K85" s="774"/>
      <c r="L85" s="162"/>
      <c r="M85" s="162"/>
      <c r="N85" s="162"/>
      <c r="O85" s="162"/>
      <c r="P85" s="162"/>
      <c r="Q85" s="162"/>
      <c r="R85" s="162"/>
      <c r="S85" s="162"/>
      <c r="T85" s="162"/>
      <c r="U85" s="162"/>
      <c r="V85" s="162"/>
      <c r="W85" s="162"/>
      <c r="X85" s="162"/>
      <c r="Y85" s="162"/>
      <c r="Z85" s="162"/>
      <c r="AA85" s="162"/>
      <c r="AB85" s="162"/>
      <c r="AC85" s="162"/>
      <c r="AD85" s="162"/>
    </row>
    <row r="86" spans="1:30">
      <c r="A86" s="438"/>
      <c r="B86" s="1064">
        <v>2021</v>
      </c>
      <c r="C86" s="1065">
        <f>$C$85</f>
        <v>5.0000000000000001E-3</v>
      </c>
      <c r="D86" s="1066">
        <f>D85</f>
        <v>1.4E-3</v>
      </c>
      <c r="E86" s="1356" t="s">
        <v>1344</v>
      </c>
      <c r="F86" s="1299"/>
      <c r="G86" s="1299"/>
      <c r="H86" s="1300"/>
      <c r="I86" s="774"/>
      <c r="J86" s="774"/>
      <c r="K86" s="774"/>
      <c r="L86" s="162"/>
      <c r="M86" s="162"/>
      <c r="N86" s="162"/>
      <c r="O86" s="162"/>
      <c r="P86" s="162"/>
      <c r="Q86" s="162"/>
      <c r="R86" s="162"/>
      <c r="S86" s="162"/>
      <c r="T86" s="162"/>
      <c r="U86" s="162"/>
      <c r="V86" s="162"/>
      <c r="W86" s="162"/>
      <c r="X86" s="162"/>
      <c r="Y86" s="162"/>
      <c r="Z86" s="162"/>
      <c r="AA86" s="162"/>
      <c r="AB86" s="162"/>
      <c r="AC86" s="162"/>
      <c r="AD86" s="162"/>
    </row>
    <row r="87" spans="1:30">
      <c r="A87" s="438"/>
      <c r="B87" s="1064">
        <v>2022</v>
      </c>
      <c r="C87" s="1065">
        <f>$C$85</f>
        <v>5.0000000000000001E-3</v>
      </c>
      <c r="D87" s="1066">
        <f>D86</f>
        <v>1.4E-3</v>
      </c>
      <c r="E87" s="1298" t="s">
        <v>1344</v>
      </c>
      <c r="F87" s="1299"/>
      <c r="G87" s="1299"/>
      <c r="H87" s="1300"/>
      <c r="I87" s="774"/>
      <c r="J87" s="774"/>
      <c r="K87" s="774"/>
      <c r="L87" s="162"/>
      <c r="M87" s="162"/>
      <c r="N87" s="162"/>
      <c r="O87" s="162"/>
      <c r="P87" s="162"/>
      <c r="Q87" s="162"/>
      <c r="R87" s="162"/>
      <c r="S87" s="162"/>
      <c r="T87" s="162"/>
      <c r="U87" s="162"/>
      <c r="V87" s="162"/>
      <c r="W87" s="162"/>
      <c r="X87" s="162"/>
      <c r="Y87" s="162"/>
      <c r="Z87" s="162"/>
      <c r="AA87" s="162"/>
      <c r="AB87" s="162"/>
      <c r="AC87" s="162"/>
      <c r="AD87" s="162"/>
    </row>
    <row r="88" spans="1:30" ht="13.5" thickBot="1">
      <c r="A88" s="325"/>
      <c r="B88" s="1051">
        <v>2023</v>
      </c>
      <c r="C88" s="1067">
        <f>$C$85</f>
        <v>5.0000000000000001E-3</v>
      </c>
      <c r="D88" s="1068">
        <f>D87</f>
        <v>1.4E-3</v>
      </c>
      <c r="E88" s="1368" t="s">
        <v>1344</v>
      </c>
      <c r="F88" s="1369"/>
      <c r="G88" s="1369"/>
      <c r="H88" s="1370"/>
      <c r="I88" s="858"/>
      <c r="J88" s="774"/>
      <c r="K88" s="774"/>
    </row>
    <row r="89" spans="1:30">
      <c r="A89" s="438" t="s">
        <v>132</v>
      </c>
      <c r="B89" s="662" t="s">
        <v>1025</v>
      </c>
      <c r="C89" s="861">
        <v>8.1299999999999997E-2</v>
      </c>
      <c r="D89" s="862">
        <v>0.10349999999999999</v>
      </c>
      <c r="E89" s="1365"/>
      <c r="F89" s="1366"/>
      <c r="G89" s="1366"/>
      <c r="H89" s="1367"/>
      <c r="I89" s="774"/>
      <c r="J89" s="774"/>
      <c r="K89" s="162"/>
      <c r="L89" s="162"/>
      <c r="M89" s="162"/>
      <c r="N89" s="162"/>
      <c r="O89" s="162"/>
      <c r="P89" s="162"/>
      <c r="Q89" s="162"/>
      <c r="R89" s="162"/>
      <c r="S89" s="162"/>
      <c r="T89" s="162"/>
      <c r="U89" s="162"/>
      <c r="V89" s="162"/>
      <c r="W89" s="162"/>
      <c r="X89" s="162"/>
      <c r="Y89" s="162"/>
      <c r="Z89" s="162"/>
      <c r="AA89" s="162"/>
      <c r="AB89" s="162"/>
      <c r="AC89" s="162"/>
      <c r="AD89" s="162"/>
    </row>
    <row r="90" spans="1:30">
      <c r="A90" s="438" t="s">
        <v>189</v>
      </c>
      <c r="B90" s="439">
        <v>1994</v>
      </c>
      <c r="C90" s="441">
        <v>6.4600000000000005E-2</v>
      </c>
      <c r="D90" s="442">
        <v>9.8199999999999996E-2</v>
      </c>
      <c r="E90" s="1298"/>
      <c r="F90" s="1299"/>
      <c r="G90" s="1299"/>
      <c r="H90" s="1300"/>
      <c r="I90" s="774"/>
      <c r="J90" s="774"/>
      <c r="K90" s="162"/>
      <c r="L90" s="162"/>
      <c r="M90" s="162"/>
      <c r="N90" s="162"/>
      <c r="O90" s="162"/>
      <c r="P90" s="162"/>
      <c r="Q90" s="162"/>
      <c r="R90" s="162"/>
      <c r="S90" s="162"/>
      <c r="T90" s="162"/>
      <c r="U90" s="162"/>
      <c r="V90" s="162"/>
      <c r="W90" s="162"/>
      <c r="X90" s="162"/>
      <c r="Y90" s="162"/>
      <c r="Z90" s="162"/>
      <c r="AA90" s="162"/>
      <c r="AB90" s="162"/>
      <c r="AC90" s="162"/>
      <c r="AD90" s="162"/>
    </row>
    <row r="91" spans="1:30">
      <c r="A91" s="438"/>
      <c r="B91" s="439">
        <v>1995</v>
      </c>
      <c r="C91" s="441">
        <v>5.1700000000000003E-2</v>
      </c>
      <c r="D91" s="442">
        <v>9.0800000000000006E-2</v>
      </c>
      <c r="E91" s="1298"/>
      <c r="F91" s="1299"/>
      <c r="G91" s="1299"/>
      <c r="H91" s="1300"/>
      <c r="I91" s="774"/>
      <c r="J91" s="774"/>
      <c r="K91" s="162"/>
      <c r="L91" s="162"/>
      <c r="M91" s="162"/>
      <c r="N91" s="162"/>
      <c r="O91" s="162"/>
      <c r="P91" s="162"/>
      <c r="Q91" s="162"/>
      <c r="R91" s="162"/>
      <c r="S91" s="162"/>
      <c r="T91" s="162"/>
      <c r="U91" s="162"/>
      <c r="V91" s="162"/>
      <c r="W91" s="162"/>
      <c r="X91" s="162"/>
      <c r="Y91" s="162"/>
      <c r="Z91" s="162"/>
      <c r="AA91" s="162"/>
      <c r="AB91" s="162"/>
      <c r="AC91" s="162"/>
      <c r="AD91" s="162"/>
    </row>
    <row r="92" spans="1:30">
      <c r="A92" s="438"/>
      <c r="B92" s="439">
        <v>1996</v>
      </c>
      <c r="C92" s="441">
        <v>4.5199999999999997E-2</v>
      </c>
      <c r="D92" s="442">
        <v>8.7099999999999997E-2</v>
      </c>
      <c r="E92" s="1298"/>
      <c r="F92" s="1299"/>
      <c r="G92" s="1299"/>
      <c r="H92" s="1300"/>
      <c r="I92" s="774"/>
      <c r="J92" s="774"/>
      <c r="K92" s="162"/>
      <c r="L92" s="162"/>
      <c r="M92" s="162"/>
      <c r="N92" s="162"/>
      <c r="O92" s="162"/>
      <c r="P92" s="162"/>
      <c r="Q92" s="162"/>
      <c r="R92" s="162"/>
      <c r="S92" s="162"/>
      <c r="T92" s="162"/>
      <c r="U92" s="162"/>
      <c r="V92" s="162"/>
      <c r="W92" s="162"/>
      <c r="X92" s="162"/>
      <c r="Y92" s="162"/>
      <c r="Z92" s="162"/>
      <c r="AA92" s="162"/>
      <c r="AB92" s="162"/>
      <c r="AC92" s="162"/>
      <c r="AD92" s="162"/>
    </row>
    <row r="93" spans="1:30">
      <c r="A93" s="438"/>
      <c r="B93" s="439">
        <v>1997</v>
      </c>
      <c r="C93" s="441">
        <v>4.5199999999999997E-2</v>
      </c>
      <c r="D93" s="442">
        <v>8.7099999999999997E-2</v>
      </c>
      <c r="E93" s="1298"/>
      <c r="F93" s="1299"/>
      <c r="G93" s="1299"/>
      <c r="H93" s="1300"/>
      <c r="I93" s="774"/>
      <c r="J93" s="774"/>
      <c r="K93" s="162"/>
      <c r="L93" s="162"/>
      <c r="M93" s="162"/>
      <c r="N93" s="162"/>
      <c r="O93" s="162"/>
      <c r="P93" s="162"/>
      <c r="Q93" s="162"/>
      <c r="R93" s="162"/>
      <c r="S93" s="162"/>
      <c r="T93" s="162"/>
      <c r="U93" s="162"/>
      <c r="V93" s="162"/>
      <c r="W93" s="162"/>
      <c r="X93" s="162"/>
      <c r="Y93" s="162"/>
      <c r="Z93" s="162"/>
      <c r="AA93" s="162"/>
      <c r="AB93" s="162"/>
      <c r="AC93" s="162"/>
      <c r="AD93" s="162"/>
    </row>
    <row r="94" spans="1:30">
      <c r="A94" s="438"/>
      <c r="B94" s="439">
        <v>1998</v>
      </c>
      <c r="C94" s="441">
        <v>4.1200000000000001E-2</v>
      </c>
      <c r="D94" s="442">
        <v>7.8700000000000006E-2</v>
      </c>
      <c r="E94" s="1298"/>
      <c r="F94" s="1299"/>
      <c r="G94" s="1299"/>
      <c r="H94" s="1300"/>
      <c r="I94" s="774"/>
      <c r="J94" s="774"/>
      <c r="K94" s="162"/>
      <c r="L94" s="162"/>
      <c r="M94" s="162"/>
      <c r="N94" s="162"/>
      <c r="O94" s="162"/>
      <c r="P94" s="162"/>
      <c r="Q94" s="162"/>
      <c r="R94" s="162"/>
      <c r="S94" s="162"/>
      <c r="T94" s="162"/>
      <c r="U94" s="162"/>
      <c r="V94" s="162"/>
      <c r="W94" s="162"/>
      <c r="X94" s="162"/>
      <c r="Y94" s="162"/>
      <c r="Z94" s="162"/>
      <c r="AA94" s="162"/>
      <c r="AB94" s="162"/>
      <c r="AC94" s="162"/>
      <c r="AD94" s="162"/>
    </row>
    <row r="95" spans="1:30">
      <c r="A95" s="438"/>
      <c r="B95" s="439">
        <v>1999</v>
      </c>
      <c r="C95" s="441">
        <v>3.3300000000000003E-2</v>
      </c>
      <c r="D95" s="442">
        <v>6.1800000000000001E-2</v>
      </c>
      <c r="E95" s="1298"/>
      <c r="F95" s="1299"/>
      <c r="G95" s="1299"/>
      <c r="H95" s="1300"/>
      <c r="I95" s="774"/>
      <c r="J95" s="774"/>
      <c r="K95" s="162"/>
      <c r="L95" s="162"/>
      <c r="M95" s="162"/>
      <c r="N95" s="162"/>
      <c r="O95" s="162"/>
      <c r="P95" s="162"/>
      <c r="Q95" s="162"/>
      <c r="R95" s="162"/>
      <c r="S95" s="162"/>
      <c r="T95" s="162"/>
      <c r="U95" s="162"/>
      <c r="V95" s="162"/>
      <c r="W95" s="162"/>
      <c r="X95" s="162"/>
      <c r="Y95" s="162"/>
      <c r="Z95" s="162"/>
      <c r="AA95" s="162"/>
      <c r="AB95" s="162"/>
      <c r="AC95" s="162"/>
      <c r="AD95" s="162"/>
    </row>
    <row r="96" spans="1:30">
      <c r="A96" s="438"/>
      <c r="B96" s="439">
        <v>2000</v>
      </c>
      <c r="C96" s="441">
        <v>3.4000000000000002E-2</v>
      </c>
      <c r="D96" s="442">
        <v>6.3100000000000003E-2</v>
      </c>
      <c r="E96" s="1298"/>
      <c r="F96" s="1299"/>
      <c r="G96" s="1299"/>
      <c r="H96" s="1300"/>
      <c r="I96" s="774"/>
      <c r="J96" s="774"/>
      <c r="K96" s="162"/>
      <c r="L96" s="162"/>
      <c r="M96" s="162"/>
      <c r="N96" s="162"/>
      <c r="O96" s="162"/>
      <c r="P96" s="162"/>
      <c r="Q96" s="162"/>
      <c r="R96" s="162"/>
      <c r="S96" s="162"/>
      <c r="T96" s="162"/>
      <c r="U96" s="162"/>
      <c r="V96" s="162"/>
      <c r="W96" s="162"/>
      <c r="X96" s="162"/>
      <c r="Y96" s="162"/>
      <c r="Z96" s="162"/>
      <c r="AA96" s="162"/>
      <c r="AB96" s="162"/>
      <c r="AC96" s="162"/>
      <c r="AD96" s="162"/>
    </row>
    <row r="97" spans="1:30">
      <c r="A97" s="438"/>
      <c r="B97" s="439">
        <v>2001</v>
      </c>
      <c r="C97" s="441">
        <v>2.2100000000000002E-2</v>
      </c>
      <c r="D97" s="442">
        <v>3.7900000000000003E-2</v>
      </c>
      <c r="E97" s="1298"/>
      <c r="F97" s="1299"/>
      <c r="G97" s="1299"/>
      <c r="H97" s="1300"/>
      <c r="I97" s="774"/>
      <c r="J97" s="774"/>
      <c r="K97" s="162"/>
      <c r="L97" s="162"/>
      <c r="M97" s="162"/>
      <c r="N97" s="162"/>
      <c r="O97" s="162"/>
      <c r="P97" s="162"/>
      <c r="Q97" s="162"/>
      <c r="R97" s="162"/>
      <c r="S97" s="162"/>
      <c r="T97" s="162"/>
      <c r="U97" s="162"/>
      <c r="V97" s="162"/>
      <c r="W97" s="162"/>
      <c r="X97" s="162"/>
      <c r="Y97" s="162"/>
      <c r="Z97" s="162"/>
      <c r="AA97" s="162"/>
      <c r="AB97" s="162"/>
      <c r="AC97" s="162"/>
      <c r="AD97" s="162"/>
    </row>
    <row r="98" spans="1:30">
      <c r="A98" s="438"/>
      <c r="B98" s="439">
        <v>2002</v>
      </c>
      <c r="C98" s="441">
        <v>2.4199999999999999E-2</v>
      </c>
      <c r="D98" s="442">
        <v>4.24E-2</v>
      </c>
      <c r="E98" s="1298"/>
      <c r="F98" s="1299"/>
      <c r="G98" s="1299"/>
      <c r="H98" s="1300"/>
      <c r="I98" s="774"/>
      <c r="J98" s="774"/>
      <c r="K98" s="162"/>
      <c r="L98" s="162"/>
      <c r="M98" s="162"/>
      <c r="N98" s="162"/>
      <c r="O98" s="162"/>
      <c r="P98" s="162"/>
      <c r="Q98" s="162"/>
      <c r="R98" s="162"/>
      <c r="S98" s="162"/>
      <c r="T98" s="162"/>
      <c r="U98" s="162"/>
      <c r="V98" s="162"/>
      <c r="W98" s="162"/>
      <c r="X98" s="162"/>
      <c r="Y98" s="162"/>
      <c r="Z98" s="162"/>
      <c r="AA98" s="162"/>
      <c r="AB98" s="162"/>
      <c r="AC98" s="162"/>
      <c r="AD98" s="162"/>
    </row>
    <row r="99" spans="1:30">
      <c r="A99" s="438"/>
      <c r="B99" s="439">
        <v>2003</v>
      </c>
      <c r="C99" s="441">
        <v>2.2100000000000002E-2</v>
      </c>
      <c r="D99" s="442">
        <v>3.73E-2</v>
      </c>
      <c r="E99" s="1298"/>
      <c r="F99" s="1299"/>
      <c r="G99" s="1299"/>
      <c r="H99" s="1300"/>
      <c r="I99" s="774"/>
      <c r="J99" s="774"/>
      <c r="K99" s="162"/>
      <c r="L99" s="162"/>
      <c r="M99" s="162"/>
      <c r="N99" s="162"/>
      <c r="O99" s="162"/>
      <c r="P99" s="162"/>
      <c r="Q99" s="162"/>
      <c r="R99" s="162"/>
      <c r="S99" s="162"/>
      <c r="T99" s="162"/>
      <c r="U99" s="162"/>
      <c r="V99" s="162"/>
      <c r="W99" s="162"/>
      <c r="X99" s="162"/>
      <c r="Y99" s="162"/>
      <c r="Z99" s="162"/>
      <c r="AA99" s="162"/>
      <c r="AB99" s="162"/>
      <c r="AC99" s="162"/>
      <c r="AD99" s="162"/>
    </row>
    <row r="100" spans="1:30">
      <c r="A100" s="438"/>
      <c r="B100" s="439">
        <v>2004</v>
      </c>
      <c r="C100" s="441">
        <v>1.15E-2</v>
      </c>
      <c r="D100" s="442">
        <v>8.8000000000000005E-3</v>
      </c>
      <c r="E100" s="1298"/>
      <c r="F100" s="1299"/>
      <c r="G100" s="1299"/>
      <c r="H100" s="1300"/>
      <c r="I100" s="774"/>
      <c r="J100" s="774"/>
      <c r="K100" s="162"/>
      <c r="L100" s="162"/>
      <c r="M100" s="162"/>
      <c r="N100" s="162"/>
      <c r="O100" s="162"/>
      <c r="P100" s="162"/>
      <c r="Q100" s="162"/>
      <c r="R100" s="162"/>
      <c r="S100" s="162"/>
      <c r="T100" s="162"/>
      <c r="U100" s="162"/>
      <c r="V100" s="162"/>
      <c r="W100" s="162"/>
      <c r="X100" s="162"/>
      <c r="Y100" s="162"/>
      <c r="Z100" s="162"/>
      <c r="AA100" s="162"/>
      <c r="AB100" s="162"/>
      <c r="AC100" s="162"/>
      <c r="AD100" s="162"/>
    </row>
    <row r="101" spans="1:30">
      <c r="A101" s="438"/>
      <c r="B101" s="440">
        <v>2005</v>
      </c>
      <c r="C101" s="441">
        <v>1.0500000000000001E-2</v>
      </c>
      <c r="D101" s="442">
        <v>6.4000000000000003E-3</v>
      </c>
      <c r="E101" s="1298"/>
      <c r="F101" s="1299"/>
      <c r="G101" s="1299"/>
      <c r="H101" s="1300"/>
      <c r="I101" s="774"/>
      <c r="J101" s="774"/>
      <c r="K101" s="162"/>
      <c r="L101" s="162"/>
      <c r="M101" s="162"/>
      <c r="N101" s="162"/>
      <c r="O101" s="162"/>
      <c r="P101" s="162"/>
      <c r="Q101" s="162"/>
      <c r="R101" s="162"/>
      <c r="S101" s="162"/>
      <c r="T101" s="162"/>
      <c r="U101" s="162"/>
      <c r="V101" s="162"/>
      <c r="W101" s="162"/>
      <c r="X101" s="162"/>
      <c r="Y101" s="162"/>
      <c r="Z101" s="162"/>
      <c r="AA101" s="162"/>
      <c r="AB101" s="162"/>
      <c r="AC101" s="162"/>
      <c r="AD101" s="162"/>
    </row>
    <row r="102" spans="1:30">
      <c r="A102" s="438"/>
      <c r="B102" s="440">
        <v>2006</v>
      </c>
      <c r="C102" s="441">
        <v>1.0800000000000001E-2</v>
      </c>
      <c r="D102" s="442">
        <v>8.0000000000000002E-3</v>
      </c>
      <c r="E102" s="1298"/>
      <c r="F102" s="1299"/>
      <c r="G102" s="1299"/>
      <c r="H102" s="1300"/>
      <c r="I102" s="774"/>
      <c r="J102" s="774"/>
      <c r="K102" s="162"/>
      <c r="L102" s="162"/>
      <c r="M102" s="162"/>
      <c r="N102" s="162"/>
      <c r="O102" s="162"/>
      <c r="P102" s="162"/>
      <c r="Q102" s="162"/>
      <c r="R102" s="162"/>
      <c r="S102" s="162"/>
      <c r="T102" s="162"/>
      <c r="U102" s="162"/>
      <c r="V102" s="162"/>
      <c r="W102" s="162"/>
      <c r="X102" s="162"/>
      <c r="Y102" s="162"/>
      <c r="Z102" s="162"/>
      <c r="AA102" s="162"/>
      <c r="AB102" s="162"/>
      <c r="AC102" s="162"/>
      <c r="AD102" s="162"/>
    </row>
    <row r="103" spans="1:30">
      <c r="A103" s="438"/>
      <c r="B103" s="440">
        <v>2007</v>
      </c>
      <c r="C103" s="441">
        <v>1.03E-2</v>
      </c>
      <c r="D103" s="442">
        <v>6.1000000000000004E-3</v>
      </c>
      <c r="E103" s="1298"/>
      <c r="F103" s="1299"/>
      <c r="G103" s="1299"/>
      <c r="H103" s="1300"/>
      <c r="I103" s="774"/>
      <c r="J103" s="774"/>
      <c r="K103" s="162"/>
      <c r="L103" s="162"/>
      <c r="M103" s="162"/>
      <c r="N103" s="162"/>
      <c r="O103" s="162"/>
      <c r="P103" s="162"/>
      <c r="Q103" s="162"/>
      <c r="R103" s="162"/>
      <c r="S103" s="162"/>
      <c r="T103" s="162"/>
      <c r="U103" s="162"/>
      <c r="V103" s="162"/>
      <c r="W103" s="162"/>
      <c r="X103" s="162"/>
      <c r="Y103" s="162"/>
      <c r="Z103" s="162"/>
      <c r="AA103" s="162"/>
      <c r="AB103" s="162"/>
      <c r="AC103" s="162"/>
      <c r="AD103" s="162"/>
    </row>
    <row r="104" spans="1:30">
      <c r="A104" s="438"/>
      <c r="B104" s="440">
        <v>2008</v>
      </c>
      <c r="C104" s="441">
        <v>9.4999999999999998E-3</v>
      </c>
      <c r="D104" s="442">
        <v>3.5999999999999999E-3</v>
      </c>
      <c r="E104" s="1298"/>
      <c r="F104" s="1299"/>
      <c r="G104" s="1299"/>
      <c r="H104" s="1300"/>
      <c r="I104" s="774"/>
      <c r="J104" s="774"/>
      <c r="K104" s="162"/>
      <c r="L104" s="162"/>
      <c r="M104" s="162"/>
      <c r="N104" s="162"/>
      <c r="O104" s="162"/>
      <c r="P104" s="162"/>
      <c r="Q104" s="162"/>
      <c r="R104" s="162"/>
      <c r="S104" s="162"/>
      <c r="T104" s="162"/>
      <c r="U104" s="162"/>
      <c r="V104" s="162"/>
      <c r="W104" s="162"/>
      <c r="X104" s="162"/>
      <c r="Y104" s="162"/>
      <c r="Z104" s="162"/>
      <c r="AA104" s="162"/>
      <c r="AB104" s="162"/>
      <c r="AC104" s="162"/>
      <c r="AD104" s="162"/>
    </row>
    <row r="105" spans="1:30">
      <c r="A105" s="438"/>
      <c r="B105" s="440">
        <v>2009</v>
      </c>
      <c r="C105" s="441">
        <v>9.4999999999999998E-3</v>
      </c>
      <c r="D105" s="442">
        <v>3.5999999999999999E-3</v>
      </c>
      <c r="E105" s="1298"/>
      <c r="F105" s="1299"/>
      <c r="G105" s="1299"/>
      <c r="H105" s="1300"/>
      <c r="I105" s="774"/>
      <c r="J105" s="774"/>
      <c r="K105" s="162"/>
      <c r="L105" s="162"/>
      <c r="M105" s="162"/>
      <c r="N105" s="162"/>
      <c r="O105" s="162"/>
      <c r="P105" s="162"/>
      <c r="Q105" s="162"/>
      <c r="R105" s="162"/>
      <c r="S105" s="162"/>
      <c r="T105" s="162"/>
      <c r="U105" s="162"/>
      <c r="V105" s="162"/>
      <c r="W105" s="162"/>
      <c r="X105" s="162"/>
      <c r="Y105" s="162"/>
      <c r="Z105" s="162"/>
      <c r="AA105" s="162"/>
      <c r="AB105" s="162"/>
      <c r="AC105" s="162"/>
      <c r="AD105" s="162"/>
    </row>
    <row r="106" spans="1:30">
      <c r="A106" s="438"/>
      <c r="B106" s="440">
        <v>2010</v>
      </c>
      <c r="C106" s="441">
        <v>9.4999999999999998E-3</v>
      </c>
      <c r="D106" s="442">
        <v>3.5000000000000001E-3</v>
      </c>
      <c r="E106" s="1298"/>
      <c r="F106" s="1299"/>
      <c r="G106" s="1299"/>
      <c r="H106" s="1300"/>
      <c r="I106" s="774"/>
      <c r="J106" s="774"/>
      <c r="K106" s="162"/>
      <c r="L106" s="162"/>
      <c r="M106" s="162"/>
      <c r="N106" s="162"/>
      <c r="O106" s="162"/>
      <c r="P106" s="162"/>
      <c r="Q106" s="162"/>
      <c r="R106" s="162"/>
      <c r="S106" s="162"/>
      <c r="T106" s="162"/>
      <c r="U106" s="162"/>
      <c r="V106" s="162"/>
      <c r="W106" s="162"/>
      <c r="X106" s="162"/>
      <c r="Y106" s="162"/>
      <c r="Z106" s="162"/>
      <c r="AA106" s="162"/>
      <c r="AB106" s="162"/>
      <c r="AC106" s="162"/>
      <c r="AD106" s="162"/>
    </row>
    <row r="107" spans="1:30">
      <c r="A107" s="438"/>
      <c r="B107" s="440">
        <v>2011</v>
      </c>
      <c r="C107" s="441">
        <v>9.5999999999999992E-3</v>
      </c>
      <c r="D107" s="442">
        <v>3.3999999999999998E-3</v>
      </c>
      <c r="E107" s="1298"/>
      <c r="F107" s="1299"/>
      <c r="G107" s="1299"/>
      <c r="H107" s="1300"/>
      <c r="I107" s="774"/>
      <c r="J107" s="774"/>
      <c r="K107" s="162"/>
      <c r="L107" s="162"/>
      <c r="M107" s="162"/>
      <c r="N107" s="162"/>
      <c r="O107" s="162"/>
      <c r="P107" s="162"/>
      <c r="Q107" s="162"/>
      <c r="R107" s="162"/>
      <c r="S107" s="162"/>
      <c r="T107" s="162"/>
      <c r="U107" s="162"/>
      <c r="V107" s="162"/>
      <c r="W107" s="162"/>
      <c r="X107" s="162"/>
      <c r="Y107" s="162"/>
      <c r="Z107" s="162"/>
      <c r="AA107" s="162"/>
      <c r="AB107" s="162"/>
      <c r="AC107" s="162"/>
      <c r="AD107" s="162"/>
    </row>
    <row r="108" spans="1:30">
      <c r="A108" s="438"/>
      <c r="B108" s="440">
        <v>2012</v>
      </c>
      <c r="C108" s="441">
        <v>9.5999999999999992E-3</v>
      </c>
      <c r="D108" s="442">
        <v>3.3E-3</v>
      </c>
      <c r="E108" s="1298"/>
      <c r="F108" s="1299"/>
      <c r="G108" s="1299"/>
      <c r="H108" s="1300"/>
      <c r="I108" s="774"/>
      <c r="J108" s="774"/>
      <c r="K108" s="162"/>
      <c r="L108" s="162"/>
      <c r="M108" s="162"/>
      <c r="N108" s="162"/>
      <c r="O108" s="162"/>
      <c r="P108" s="162"/>
      <c r="Q108" s="162"/>
      <c r="R108" s="162"/>
      <c r="S108" s="162"/>
      <c r="T108" s="162"/>
      <c r="U108" s="162"/>
      <c r="V108" s="162"/>
      <c r="W108" s="162"/>
      <c r="X108" s="162"/>
      <c r="Y108" s="162"/>
      <c r="Z108" s="162"/>
      <c r="AA108" s="162"/>
      <c r="AB108" s="162"/>
      <c r="AC108" s="162"/>
      <c r="AD108" s="162"/>
    </row>
    <row r="109" spans="1:30">
      <c r="A109" s="438"/>
      <c r="B109" s="440">
        <v>2013</v>
      </c>
      <c r="C109" s="441">
        <v>9.4999999999999998E-3</v>
      </c>
      <c r="D109" s="442">
        <v>3.5000000000000001E-3</v>
      </c>
      <c r="E109" s="1298"/>
      <c r="F109" s="1299"/>
      <c r="G109" s="1299"/>
      <c r="H109" s="1300"/>
      <c r="I109" s="774"/>
      <c r="J109" s="774"/>
      <c r="K109" s="162"/>
      <c r="L109" s="162"/>
      <c r="M109" s="162"/>
      <c r="N109" s="162"/>
      <c r="O109" s="162"/>
      <c r="P109" s="162"/>
      <c r="Q109" s="162"/>
      <c r="R109" s="162"/>
      <c r="S109" s="162"/>
      <c r="T109" s="162"/>
      <c r="U109" s="162"/>
      <c r="V109" s="162"/>
      <c r="W109" s="162"/>
      <c r="X109" s="162"/>
      <c r="Y109" s="162"/>
      <c r="Z109" s="162"/>
      <c r="AA109" s="162"/>
      <c r="AB109" s="162"/>
      <c r="AC109" s="162"/>
      <c r="AD109" s="162"/>
    </row>
    <row r="110" spans="1:30">
      <c r="A110" s="438"/>
      <c r="B110" s="440">
        <v>2014</v>
      </c>
      <c r="C110" s="441">
        <v>9.4999999999999998E-3</v>
      </c>
      <c r="D110" s="442">
        <v>3.3E-3</v>
      </c>
      <c r="E110" s="1298"/>
      <c r="F110" s="1299"/>
      <c r="G110" s="1299"/>
      <c r="H110" s="1300"/>
      <c r="I110" s="774"/>
      <c r="J110" s="774"/>
      <c r="K110" s="162"/>
      <c r="L110" s="162"/>
      <c r="M110" s="162"/>
      <c r="N110" s="162"/>
      <c r="O110" s="162"/>
      <c r="P110" s="162"/>
      <c r="Q110" s="162"/>
      <c r="R110" s="162"/>
      <c r="S110" s="162"/>
      <c r="T110" s="162"/>
      <c r="U110" s="162"/>
      <c r="V110" s="162"/>
      <c r="W110" s="162"/>
      <c r="X110" s="162"/>
      <c r="Y110" s="162"/>
      <c r="Z110" s="162"/>
      <c r="AA110" s="162"/>
      <c r="AB110" s="162"/>
      <c r="AC110" s="162"/>
      <c r="AD110" s="162"/>
    </row>
    <row r="111" spans="1:30">
      <c r="A111" s="438"/>
      <c r="B111" s="440">
        <v>2015</v>
      </c>
      <c r="C111" s="441">
        <v>9.4000000000000004E-3</v>
      </c>
      <c r="D111" s="442">
        <v>3.0999999999999999E-3</v>
      </c>
      <c r="E111" s="1298"/>
      <c r="F111" s="1299"/>
      <c r="G111" s="1299"/>
      <c r="H111" s="1300"/>
      <c r="I111" s="774"/>
      <c r="J111" s="774"/>
      <c r="K111" s="162"/>
      <c r="L111" s="162"/>
      <c r="M111" s="162"/>
      <c r="N111" s="162"/>
      <c r="O111" s="162"/>
      <c r="P111" s="162"/>
      <c r="Q111" s="162"/>
      <c r="R111" s="162"/>
      <c r="S111" s="162"/>
      <c r="T111" s="162"/>
      <c r="U111" s="162"/>
      <c r="V111" s="162"/>
      <c r="W111" s="162"/>
      <c r="X111" s="162"/>
      <c r="Y111" s="162"/>
      <c r="Z111" s="162"/>
      <c r="AA111" s="162"/>
      <c r="AB111" s="162"/>
      <c r="AC111" s="162"/>
      <c r="AD111" s="162"/>
    </row>
    <row r="112" spans="1:30">
      <c r="A112" s="438"/>
      <c r="B112" s="440">
        <v>2016</v>
      </c>
      <c r="C112" s="441">
        <v>9.1000000000000004E-3</v>
      </c>
      <c r="D112" s="442">
        <v>2.8999999999999998E-3</v>
      </c>
      <c r="E112" s="1298"/>
      <c r="F112" s="1299"/>
      <c r="G112" s="1299"/>
      <c r="H112" s="1300"/>
      <c r="I112" s="774"/>
      <c r="J112" s="774"/>
      <c r="K112" s="162"/>
      <c r="L112" s="162"/>
      <c r="M112" s="162"/>
      <c r="N112" s="162"/>
      <c r="O112" s="162"/>
      <c r="P112" s="162"/>
      <c r="Q112" s="162"/>
      <c r="R112" s="162"/>
      <c r="S112" s="162"/>
      <c r="T112" s="162"/>
      <c r="U112" s="162"/>
      <c r="V112" s="162"/>
      <c r="W112" s="162"/>
      <c r="X112" s="162"/>
      <c r="Y112" s="162"/>
      <c r="Z112" s="162"/>
      <c r="AA112" s="162"/>
      <c r="AB112" s="162"/>
      <c r="AC112" s="162"/>
      <c r="AD112" s="162"/>
    </row>
    <row r="113" spans="1:30">
      <c r="A113" s="438"/>
      <c r="B113" s="440">
        <v>2017</v>
      </c>
      <c r="C113" s="441">
        <v>8.3999999999999995E-3</v>
      </c>
      <c r="D113" s="442">
        <v>1.8E-3</v>
      </c>
      <c r="E113" s="1298"/>
      <c r="F113" s="1299"/>
      <c r="G113" s="1299"/>
      <c r="H113" s="1300"/>
      <c r="I113" s="774"/>
      <c r="J113" s="774"/>
      <c r="K113" s="162"/>
      <c r="L113" s="162"/>
      <c r="M113" s="162"/>
      <c r="N113" s="162"/>
      <c r="O113" s="162"/>
      <c r="P113" s="162"/>
      <c r="Q113" s="162"/>
      <c r="R113" s="162"/>
      <c r="S113" s="162"/>
      <c r="T113" s="162"/>
      <c r="U113" s="162"/>
      <c r="V113" s="162"/>
      <c r="W113" s="162"/>
      <c r="X113" s="162"/>
      <c r="Y113" s="162"/>
      <c r="Z113" s="162"/>
      <c r="AA113" s="162"/>
      <c r="AB113" s="162"/>
      <c r="AC113" s="162"/>
      <c r="AD113" s="162"/>
    </row>
    <row r="114" spans="1:30">
      <c r="A114" s="438"/>
      <c r="B114" s="440">
        <v>2018</v>
      </c>
      <c r="C114" s="441">
        <v>8.0999999999999996E-3</v>
      </c>
      <c r="D114" s="442">
        <v>1.5E-3</v>
      </c>
      <c r="E114" s="1298"/>
      <c r="F114" s="1299"/>
      <c r="G114" s="1299"/>
      <c r="H114" s="1300"/>
      <c r="I114" s="774"/>
      <c r="J114" s="774"/>
      <c r="K114" s="162"/>
      <c r="L114" s="162"/>
      <c r="M114" s="162"/>
      <c r="N114" s="162"/>
      <c r="O114" s="162"/>
      <c r="P114" s="162"/>
      <c r="Q114" s="162"/>
      <c r="R114" s="162"/>
      <c r="S114" s="162"/>
      <c r="T114" s="162"/>
      <c r="U114" s="162"/>
      <c r="V114" s="162"/>
      <c r="W114" s="162"/>
      <c r="X114" s="162"/>
      <c r="Y114" s="162"/>
      <c r="Z114" s="162"/>
      <c r="AA114" s="162"/>
      <c r="AB114" s="162"/>
      <c r="AC114" s="162"/>
      <c r="AD114" s="162"/>
    </row>
    <row r="115" spans="1:30">
      <c r="A115" s="438"/>
      <c r="B115" s="440">
        <v>2019</v>
      </c>
      <c r="C115" s="441">
        <v>8.0000000000000002E-3</v>
      </c>
      <c r="D115" s="442">
        <v>1.2999999999999999E-3</v>
      </c>
      <c r="E115" s="1298"/>
      <c r="F115" s="1299"/>
      <c r="G115" s="1299"/>
      <c r="H115" s="1300"/>
      <c r="I115" s="774"/>
      <c r="J115" s="774"/>
      <c r="K115" s="162"/>
      <c r="L115" s="162"/>
      <c r="M115" s="162"/>
      <c r="N115" s="162"/>
      <c r="O115" s="162"/>
      <c r="P115" s="162"/>
      <c r="Q115" s="162"/>
      <c r="R115" s="162"/>
      <c r="S115" s="162"/>
      <c r="T115" s="162"/>
      <c r="U115" s="162"/>
      <c r="V115" s="162"/>
      <c r="W115" s="162"/>
      <c r="X115" s="162"/>
      <c r="Y115" s="162"/>
      <c r="Z115" s="162"/>
      <c r="AA115" s="162"/>
      <c r="AB115" s="162"/>
      <c r="AC115" s="162"/>
      <c r="AD115" s="162"/>
    </row>
    <row r="116" spans="1:30">
      <c r="A116" s="438"/>
      <c r="B116" s="1043">
        <v>2020</v>
      </c>
      <c r="C116" s="203">
        <v>7.9000000000000008E-3</v>
      </c>
      <c r="D116" s="326">
        <v>1.1999999999999999E-3</v>
      </c>
      <c r="E116" s="1298" t="s">
        <v>1342</v>
      </c>
      <c r="F116" s="1299"/>
      <c r="G116" s="1299"/>
      <c r="H116" s="1300"/>
      <c r="I116" s="774"/>
      <c r="J116" s="774"/>
      <c r="K116" s="162"/>
      <c r="L116" s="162"/>
      <c r="M116" s="162"/>
      <c r="N116" s="162"/>
      <c r="O116" s="162"/>
      <c r="P116" s="162"/>
      <c r="Q116" s="162"/>
      <c r="R116" s="162"/>
      <c r="S116" s="162"/>
      <c r="T116" s="162"/>
      <c r="U116" s="162"/>
      <c r="V116" s="162"/>
      <c r="W116" s="162"/>
      <c r="X116" s="162"/>
      <c r="Y116" s="162"/>
      <c r="Z116" s="162"/>
      <c r="AA116" s="162"/>
      <c r="AB116" s="162"/>
      <c r="AC116" s="162"/>
      <c r="AD116" s="162"/>
    </row>
    <row r="117" spans="1:30" ht="12.6" customHeight="1">
      <c r="A117" s="438"/>
      <c r="B117" s="1064">
        <v>2021</v>
      </c>
      <c r="C117" s="203">
        <f>$C$116</f>
        <v>7.9000000000000008E-3</v>
      </c>
      <c r="D117" s="326">
        <f>$D$116</f>
        <v>1.1999999999999999E-3</v>
      </c>
      <c r="E117" s="1356" t="s">
        <v>1344</v>
      </c>
      <c r="F117" s="1299"/>
      <c r="G117" s="1299"/>
      <c r="H117" s="1300"/>
      <c r="I117" s="774"/>
      <c r="J117" s="774"/>
      <c r="K117" s="162"/>
      <c r="L117" s="162"/>
      <c r="M117" s="162"/>
      <c r="N117" s="162"/>
      <c r="O117" s="162"/>
      <c r="P117" s="162"/>
      <c r="Q117" s="162"/>
      <c r="R117" s="162"/>
      <c r="S117" s="162"/>
      <c r="T117" s="162"/>
      <c r="U117" s="162"/>
      <c r="V117" s="162"/>
      <c r="W117" s="162"/>
      <c r="X117" s="162"/>
      <c r="Y117" s="162"/>
      <c r="Z117" s="162"/>
      <c r="AA117" s="162"/>
      <c r="AB117" s="162"/>
      <c r="AC117" s="162"/>
      <c r="AD117" s="162"/>
    </row>
    <row r="118" spans="1:30" ht="12.6" customHeight="1">
      <c r="A118" s="438"/>
      <c r="B118" s="1064">
        <v>2022</v>
      </c>
      <c r="C118" s="203">
        <f>$C$116</f>
        <v>7.9000000000000008E-3</v>
      </c>
      <c r="D118" s="326">
        <f>$D$116</f>
        <v>1.1999999999999999E-3</v>
      </c>
      <c r="E118" s="1298" t="s">
        <v>1344</v>
      </c>
      <c r="F118" s="1299"/>
      <c r="G118" s="1299"/>
      <c r="H118" s="1300"/>
      <c r="I118" s="774"/>
      <c r="J118" s="774"/>
      <c r="K118" s="162"/>
      <c r="L118" s="162"/>
      <c r="M118" s="162"/>
      <c r="N118" s="162"/>
      <c r="O118" s="162"/>
      <c r="P118" s="162"/>
      <c r="Q118" s="162"/>
      <c r="R118" s="162"/>
      <c r="S118" s="162"/>
      <c r="T118" s="162"/>
      <c r="U118" s="162"/>
      <c r="V118" s="162"/>
      <c r="W118" s="162"/>
      <c r="X118" s="162"/>
      <c r="Y118" s="162"/>
      <c r="Z118" s="162"/>
      <c r="AA118" s="162"/>
      <c r="AB118" s="162"/>
      <c r="AC118" s="162"/>
      <c r="AD118" s="162"/>
    </row>
    <row r="119" spans="1:30" ht="12.95" customHeight="1" thickBot="1">
      <c r="A119" s="438"/>
      <c r="B119" s="1051">
        <v>2023</v>
      </c>
      <c r="C119" s="203">
        <f>$C$116</f>
        <v>7.9000000000000008E-3</v>
      </c>
      <c r="D119" s="326">
        <f>$D$116</f>
        <v>1.1999999999999999E-3</v>
      </c>
      <c r="E119" s="1368" t="s">
        <v>1344</v>
      </c>
      <c r="F119" s="1369"/>
      <c r="G119" s="1369"/>
      <c r="H119" s="1370"/>
      <c r="I119" s="774"/>
      <c r="J119" s="774"/>
      <c r="K119" s="162"/>
      <c r="L119" s="162"/>
      <c r="M119" s="162"/>
      <c r="N119" s="162"/>
      <c r="O119" s="162"/>
      <c r="P119" s="162"/>
      <c r="Q119" s="162"/>
      <c r="R119" s="162"/>
      <c r="S119" s="162"/>
      <c r="T119" s="162"/>
      <c r="U119" s="162"/>
      <c r="V119" s="162"/>
      <c r="W119" s="162"/>
      <c r="X119" s="162"/>
      <c r="Y119" s="162"/>
      <c r="Z119" s="162"/>
      <c r="AA119" s="162"/>
      <c r="AB119" s="162"/>
      <c r="AC119" s="162"/>
      <c r="AD119" s="162"/>
    </row>
    <row r="120" spans="1:30">
      <c r="A120" s="443" t="s">
        <v>190</v>
      </c>
      <c r="B120" s="51" t="s">
        <v>1026</v>
      </c>
      <c r="C120" s="444">
        <v>0.40899999999999997</v>
      </c>
      <c r="D120" s="445">
        <v>5.1499999999999997E-2</v>
      </c>
      <c r="E120" s="1365"/>
      <c r="F120" s="1366"/>
      <c r="G120" s="1366"/>
      <c r="H120" s="1367"/>
      <c r="I120" s="774"/>
      <c r="J120" s="774"/>
      <c r="K120" s="162"/>
      <c r="L120" s="162"/>
      <c r="M120" s="162"/>
      <c r="N120" s="162"/>
      <c r="O120" s="162"/>
      <c r="P120" s="162"/>
      <c r="Q120" s="162"/>
      <c r="R120" s="162"/>
      <c r="S120" s="162"/>
      <c r="T120" s="162"/>
      <c r="U120" s="162"/>
      <c r="V120" s="162"/>
      <c r="W120" s="162"/>
      <c r="X120" s="162"/>
      <c r="Y120" s="162"/>
      <c r="Z120" s="162"/>
      <c r="AA120" s="162"/>
      <c r="AB120" s="162"/>
      <c r="AC120" s="162"/>
      <c r="AD120" s="162"/>
    </row>
    <row r="121" spans="1:30">
      <c r="A121" s="438"/>
      <c r="B121" s="54">
        <v>1987</v>
      </c>
      <c r="C121" s="339">
        <v>0.36749999999999999</v>
      </c>
      <c r="D121" s="446">
        <v>8.4900000000000003E-2</v>
      </c>
      <c r="E121" s="1298"/>
      <c r="F121" s="1299"/>
      <c r="G121" s="1299"/>
      <c r="H121" s="1300"/>
      <c r="I121" s="774"/>
      <c r="J121" s="774"/>
      <c r="K121" s="162"/>
      <c r="L121" s="162"/>
      <c r="M121" s="162"/>
      <c r="N121" s="162"/>
      <c r="O121" s="162"/>
      <c r="P121" s="162"/>
      <c r="Q121" s="162"/>
      <c r="R121" s="162"/>
      <c r="S121" s="162"/>
      <c r="T121" s="162"/>
      <c r="U121" s="162"/>
      <c r="V121" s="162"/>
      <c r="W121" s="162"/>
      <c r="X121" s="162"/>
      <c r="Y121" s="162"/>
      <c r="Z121" s="162"/>
      <c r="AA121" s="162"/>
      <c r="AB121" s="162"/>
      <c r="AC121" s="162"/>
      <c r="AD121" s="162"/>
    </row>
    <row r="122" spans="1:30">
      <c r="A122" s="438"/>
      <c r="B122" s="54" t="s">
        <v>10</v>
      </c>
      <c r="C122" s="339">
        <v>0.34920000000000001</v>
      </c>
      <c r="D122" s="446">
        <v>9.3299999999999994E-2</v>
      </c>
      <c r="E122" s="1298"/>
      <c r="F122" s="1299"/>
      <c r="G122" s="1299"/>
      <c r="H122" s="1300"/>
      <c r="I122" s="774"/>
      <c r="J122" s="774"/>
      <c r="K122" s="162"/>
      <c r="L122" s="162"/>
      <c r="M122" s="162"/>
      <c r="N122" s="162"/>
      <c r="O122" s="162"/>
      <c r="P122" s="162"/>
      <c r="Q122" s="162"/>
      <c r="R122" s="162"/>
      <c r="S122" s="162"/>
      <c r="T122" s="162"/>
      <c r="U122" s="162"/>
      <c r="V122" s="162"/>
      <c r="W122" s="162"/>
      <c r="X122" s="162"/>
      <c r="Y122" s="162"/>
      <c r="Z122" s="162"/>
      <c r="AA122" s="162"/>
      <c r="AB122" s="162"/>
      <c r="AC122" s="162"/>
      <c r="AD122" s="162"/>
    </row>
    <row r="123" spans="1:30">
      <c r="A123" s="438"/>
      <c r="B123" s="54" t="s">
        <v>11</v>
      </c>
      <c r="C123" s="441">
        <v>0.3246</v>
      </c>
      <c r="D123" s="447">
        <v>0.1142</v>
      </c>
      <c r="E123" s="1298"/>
      <c r="F123" s="1299"/>
      <c r="G123" s="1299"/>
      <c r="H123" s="1300"/>
      <c r="I123" s="774"/>
      <c r="J123" s="774"/>
      <c r="K123" s="162"/>
      <c r="L123" s="162"/>
      <c r="M123" s="162"/>
      <c r="N123" s="162"/>
      <c r="O123" s="162"/>
      <c r="P123" s="162"/>
      <c r="Q123" s="162"/>
      <c r="R123" s="162"/>
      <c r="S123" s="162"/>
      <c r="T123" s="162"/>
      <c r="U123" s="162"/>
      <c r="V123" s="162"/>
      <c r="W123" s="162"/>
      <c r="X123" s="162"/>
      <c r="Y123" s="162"/>
      <c r="Z123" s="162"/>
      <c r="AA123" s="162"/>
      <c r="AB123" s="162"/>
      <c r="AC123" s="162"/>
      <c r="AD123" s="162"/>
    </row>
    <row r="124" spans="1:30">
      <c r="A124" s="438"/>
      <c r="B124" s="439">
        <v>1996</v>
      </c>
      <c r="C124" s="441">
        <v>0.1278</v>
      </c>
      <c r="D124" s="447">
        <v>0.16800000000000001</v>
      </c>
      <c r="E124" s="1298"/>
      <c r="F124" s="1299"/>
      <c r="G124" s="1299"/>
      <c r="H124" s="1300"/>
      <c r="I124" s="774"/>
      <c r="J124" s="774"/>
      <c r="K124" s="162"/>
      <c r="L124" s="162"/>
      <c r="M124" s="162"/>
      <c r="N124" s="162"/>
      <c r="O124" s="162"/>
      <c r="P124" s="162"/>
      <c r="Q124" s="162"/>
      <c r="R124" s="162"/>
      <c r="S124" s="162"/>
      <c r="T124" s="162"/>
      <c r="U124" s="162"/>
      <c r="V124" s="162"/>
      <c r="W124" s="162"/>
      <c r="X124" s="162"/>
      <c r="Y124" s="162"/>
      <c r="Z124" s="162"/>
      <c r="AA124" s="162"/>
      <c r="AB124" s="162"/>
      <c r="AC124" s="162"/>
      <c r="AD124" s="162"/>
    </row>
    <row r="125" spans="1:30">
      <c r="A125" s="438"/>
      <c r="B125" s="439">
        <v>1997</v>
      </c>
      <c r="C125" s="441">
        <v>9.2399999999999996E-2</v>
      </c>
      <c r="D125" s="447">
        <v>0.1726</v>
      </c>
      <c r="E125" s="1298"/>
      <c r="F125" s="1299"/>
      <c r="G125" s="1299"/>
      <c r="H125" s="1300"/>
      <c r="I125" s="774"/>
      <c r="J125" s="774"/>
      <c r="K125" s="162"/>
      <c r="L125" s="162"/>
      <c r="M125" s="162"/>
      <c r="N125" s="162"/>
      <c r="O125" s="162"/>
      <c r="P125" s="162"/>
      <c r="Q125" s="162"/>
      <c r="R125" s="162"/>
      <c r="S125" s="162"/>
      <c r="T125" s="162"/>
      <c r="U125" s="162"/>
      <c r="V125" s="162"/>
      <c r="W125" s="162"/>
      <c r="X125" s="162"/>
      <c r="Y125" s="162"/>
      <c r="Z125" s="162"/>
      <c r="AA125" s="162"/>
      <c r="AB125" s="162"/>
      <c r="AC125" s="162"/>
      <c r="AD125" s="162"/>
    </row>
    <row r="126" spans="1:30">
      <c r="A126" s="438"/>
      <c r="B126" s="439">
        <v>1998</v>
      </c>
      <c r="C126" s="441">
        <v>6.5500000000000003E-2</v>
      </c>
      <c r="D126" s="447">
        <v>0.17499999999999999</v>
      </c>
      <c r="E126" s="1298"/>
      <c r="F126" s="1299"/>
      <c r="G126" s="1299"/>
      <c r="H126" s="1300"/>
      <c r="I126" s="774"/>
      <c r="J126" s="774"/>
      <c r="K126" s="162"/>
      <c r="L126" s="162"/>
      <c r="M126" s="162"/>
      <c r="N126" s="162"/>
      <c r="O126" s="162"/>
      <c r="P126" s="162"/>
      <c r="Q126" s="162"/>
      <c r="R126" s="162"/>
      <c r="S126" s="162"/>
      <c r="T126" s="162"/>
      <c r="U126" s="162"/>
      <c r="V126" s="162"/>
      <c r="W126" s="162"/>
      <c r="X126" s="162"/>
      <c r="Y126" s="162"/>
      <c r="Z126" s="162"/>
      <c r="AA126" s="162"/>
      <c r="AB126" s="162"/>
      <c r="AC126" s="162"/>
      <c r="AD126" s="162"/>
    </row>
    <row r="127" spans="1:30">
      <c r="A127" s="438"/>
      <c r="B127" s="439">
        <v>1999</v>
      </c>
      <c r="C127" s="441">
        <v>6.4799999999999996E-2</v>
      </c>
      <c r="D127" s="447">
        <v>0.1724</v>
      </c>
      <c r="E127" s="1298"/>
      <c r="F127" s="1299"/>
      <c r="G127" s="1299"/>
      <c r="H127" s="1300"/>
      <c r="I127" s="774"/>
      <c r="J127" s="774"/>
      <c r="K127" s="162"/>
      <c r="L127" s="162"/>
      <c r="M127" s="162"/>
      <c r="N127" s="162"/>
      <c r="O127" s="162"/>
      <c r="P127" s="162"/>
      <c r="Q127" s="162"/>
      <c r="R127" s="162"/>
      <c r="S127" s="162"/>
      <c r="T127" s="162"/>
      <c r="U127" s="162"/>
      <c r="V127" s="162"/>
      <c r="W127" s="162"/>
      <c r="X127" s="162"/>
      <c r="Y127" s="162"/>
      <c r="Z127" s="162"/>
      <c r="AA127" s="162"/>
      <c r="AB127" s="162"/>
      <c r="AC127" s="162"/>
      <c r="AD127" s="162"/>
    </row>
    <row r="128" spans="1:30">
      <c r="A128" s="438"/>
      <c r="B128" s="439">
        <v>2000</v>
      </c>
      <c r="C128" s="441">
        <v>6.3E-2</v>
      </c>
      <c r="D128" s="447">
        <v>0.16600000000000001</v>
      </c>
      <c r="E128" s="1298"/>
      <c r="F128" s="1299"/>
      <c r="G128" s="1299"/>
      <c r="H128" s="1300"/>
      <c r="I128" s="774"/>
      <c r="J128" s="774"/>
      <c r="K128" s="162"/>
      <c r="L128" s="162"/>
      <c r="M128" s="162"/>
      <c r="N128" s="162"/>
      <c r="O128" s="162"/>
      <c r="P128" s="162"/>
      <c r="Q128" s="162"/>
      <c r="R128" s="162"/>
      <c r="S128" s="162"/>
      <c r="T128" s="162"/>
      <c r="U128" s="162"/>
      <c r="V128" s="162"/>
      <c r="W128" s="162"/>
      <c r="X128" s="162"/>
      <c r="Y128" s="162"/>
      <c r="Z128" s="162"/>
      <c r="AA128" s="162"/>
      <c r="AB128" s="162"/>
      <c r="AC128" s="162"/>
      <c r="AD128" s="162"/>
    </row>
    <row r="129" spans="1:30">
      <c r="A129" s="438"/>
      <c r="B129" s="439">
        <v>2001</v>
      </c>
      <c r="C129" s="441">
        <v>5.7700000000000001E-2</v>
      </c>
      <c r="D129" s="447">
        <v>0.14680000000000001</v>
      </c>
      <c r="E129" s="1298"/>
      <c r="F129" s="1299"/>
      <c r="G129" s="1299"/>
      <c r="H129" s="1300"/>
      <c r="I129" s="774"/>
      <c r="J129" s="774"/>
      <c r="K129" s="162"/>
      <c r="L129" s="162"/>
      <c r="M129" s="162"/>
      <c r="N129" s="162"/>
      <c r="O129" s="162"/>
      <c r="P129" s="162"/>
      <c r="Q129" s="162"/>
      <c r="R129" s="162"/>
      <c r="S129" s="162"/>
      <c r="T129" s="162"/>
      <c r="U129" s="162"/>
      <c r="V129" s="162"/>
      <c r="W129" s="162"/>
      <c r="X129" s="162"/>
      <c r="Y129" s="162"/>
      <c r="Z129" s="162"/>
      <c r="AA129" s="162"/>
      <c r="AB129" s="162"/>
      <c r="AC129" s="162"/>
      <c r="AD129" s="162"/>
    </row>
    <row r="130" spans="1:30">
      <c r="A130" s="438"/>
      <c r="B130" s="439">
        <v>2002</v>
      </c>
      <c r="C130" s="441">
        <v>6.3399999999999998E-2</v>
      </c>
      <c r="D130" s="447">
        <v>0.1673</v>
      </c>
      <c r="E130" s="1298"/>
      <c r="F130" s="1299"/>
      <c r="G130" s="1299"/>
      <c r="H130" s="1300"/>
      <c r="I130" s="774"/>
      <c r="J130" s="774"/>
      <c r="K130" s="162"/>
      <c r="L130" s="162"/>
      <c r="M130" s="162"/>
      <c r="N130" s="162"/>
      <c r="O130" s="162"/>
      <c r="P130" s="162"/>
      <c r="Q130" s="162"/>
      <c r="R130" s="162"/>
      <c r="S130" s="162"/>
      <c r="T130" s="162"/>
      <c r="U130" s="162"/>
      <c r="V130" s="162"/>
      <c r="W130" s="162"/>
      <c r="X130" s="162"/>
      <c r="Y130" s="162"/>
      <c r="Z130" s="162"/>
      <c r="AA130" s="162"/>
      <c r="AB130" s="162"/>
      <c r="AC130" s="162"/>
      <c r="AD130" s="162"/>
    </row>
    <row r="131" spans="1:30">
      <c r="A131" s="438"/>
      <c r="B131" s="439">
        <v>2003</v>
      </c>
      <c r="C131" s="441">
        <v>6.0199999999999997E-2</v>
      </c>
      <c r="D131" s="447">
        <v>0.15529999999999999</v>
      </c>
      <c r="E131" s="1298"/>
      <c r="F131" s="1299"/>
      <c r="G131" s="1299"/>
      <c r="H131" s="1300"/>
      <c r="I131" s="774"/>
      <c r="J131" s="774"/>
      <c r="K131" s="162"/>
      <c r="L131" s="162"/>
      <c r="M131" s="162"/>
      <c r="N131" s="162"/>
      <c r="O131" s="162"/>
      <c r="P131" s="162"/>
      <c r="Q131" s="162"/>
      <c r="R131" s="162"/>
      <c r="S131" s="162"/>
      <c r="T131" s="162"/>
      <c r="U131" s="162"/>
      <c r="V131" s="162"/>
      <c r="W131" s="162"/>
      <c r="X131" s="162"/>
      <c r="Y131" s="162"/>
      <c r="Z131" s="162"/>
      <c r="AA131" s="162"/>
      <c r="AB131" s="162"/>
      <c r="AC131" s="162"/>
      <c r="AD131" s="162"/>
    </row>
    <row r="132" spans="1:30">
      <c r="A132" s="438"/>
      <c r="B132" s="439">
        <v>2004</v>
      </c>
      <c r="C132" s="441">
        <v>2.98E-2</v>
      </c>
      <c r="D132" s="447">
        <v>1.6400000000000001E-2</v>
      </c>
      <c r="E132" s="1298"/>
      <c r="F132" s="1299"/>
      <c r="G132" s="1299"/>
      <c r="H132" s="1300"/>
      <c r="I132" s="774"/>
      <c r="J132" s="774"/>
      <c r="K132" s="162"/>
      <c r="L132" s="162"/>
      <c r="M132" s="162"/>
      <c r="N132" s="162"/>
      <c r="O132" s="162"/>
      <c r="P132" s="162"/>
      <c r="Q132" s="162"/>
      <c r="R132" s="162"/>
      <c r="S132" s="162"/>
      <c r="T132" s="162"/>
      <c r="U132" s="162"/>
      <c r="V132" s="162"/>
      <c r="W132" s="162"/>
      <c r="X132" s="162"/>
      <c r="Y132" s="162"/>
      <c r="Z132" s="162"/>
      <c r="AA132" s="162"/>
      <c r="AB132" s="162"/>
      <c r="AC132" s="162"/>
      <c r="AD132" s="162"/>
    </row>
    <row r="133" spans="1:30">
      <c r="A133" s="438"/>
      <c r="B133" s="440">
        <v>2005</v>
      </c>
      <c r="C133" s="441">
        <v>2.9700000000000001E-2</v>
      </c>
      <c r="D133" s="447">
        <v>8.3000000000000001E-3</v>
      </c>
      <c r="E133" s="1298"/>
      <c r="F133" s="1299"/>
      <c r="G133" s="1299"/>
      <c r="H133" s="1300"/>
      <c r="I133" s="774"/>
      <c r="J133" s="774"/>
      <c r="K133" s="162"/>
      <c r="L133" s="162"/>
      <c r="M133" s="162"/>
      <c r="N133" s="162"/>
      <c r="O133" s="162"/>
      <c r="P133" s="162"/>
      <c r="Q133" s="162"/>
      <c r="R133" s="162"/>
      <c r="S133" s="162"/>
      <c r="T133" s="162"/>
      <c r="U133" s="162"/>
      <c r="V133" s="162"/>
      <c r="W133" s="162"/>
      <c r="X133" s="162"/>
      <c r="Y133" s="162"/>
      <c r="Z133" s="162"/>
      <c r="AA133" s="162"/>
      <c r="AB133" s="162"/>
      <c r="AC133" s="162"/>
      <c r="AD133" s="162"/>
    </row>
    <row r="134" spans="1:30">
      <c r="A134" s="438"/>
      <c r="B134" s="440">
        <v>2006</v>
      </c>
      <c r="C134" s="477">
        <v>2.9899999999999999E-2</v>
      </c>
      <c r="D134" s="478">
        <v>2.41E-2</v>
      </c>
      <c r="E134" s="1298"/>
      <c r="F134" s="1299"/>
      <c r="G134" s="1299"/>
      <c r="H134" s="1300"/>
      <c r="I134" s="774"/>
      <c r="J134" s="774"/>
      <c r="K134" s="162"/>
      <c r="L134" s="162"/>
      <c r="M134" s="162"/>
      <c r="N134" s="162"/>
      <c r="O134" s="162"/>
      <c r="P134" s="162"/>
      <c r="Q134" s="162"/>
      <c r="R134" s="162"/>
      <c r="S134" s="162"/>
      <c r="T134" s="162"/>
      <c r="U134" s="162"/>
      <c r="V134" s="162"/>
      <c r="W134" s="162"/>
      <c r="X134" s="162"/>
      <c r="Y134" s="162"/>
      <c r="Z134" s="162"/>
      <c r="AA134" s="162"/>
      <c r="AB134" s="162"/>
      <c r="AC134" s="162"/>
      <c r="AD134" s="162"/>
    </row>
    <row r="135" spans="1:30">
      <c r="A135" s="438"/>
      <c r="B135" s="440">
        <v>2007</v>
      </c>
      <c r="C135" s="477">
        <v>3.2199999999999999E-2</v>
      </c>
      <c r="D135" s="478">
        <v>1.5E-3</v>
      </c>
      <c r="E135" s="1298"/>
      <c r="F135" s="1299"/>
      <c r="G135" s="1299"/>
      <c r="H135" s="1300"/>
      <c r="I135" s="774"/>
      <c r="J135" s="774"/>
      <c r="K135" s="162"/>
      <c r="L135" s="162"/>
      <c r="M135" s="162"/>
      <c r="N135" s="162"/>
      <c r="O135" s="162"/>
      <c r="P135" s="162"/>
      <c r="Q135" s="162"/>
      <c r="R135" s="162"/>
      <c r="S135" s="162"/>
      <c r="T135" s="162"/>
      <c r="U135" s="162"/>
      <c r="V135" s="162"/>
      <c r="W135" s="162"/>
      <c r="X135" s="162"/>
      <c r="Y135" s="162"/>
      <c r="Z135" s="162"/>
      <c r="AA135" s="162"/>
      <c r="AB135" s="162"/>
      <c r="AC135" s="162"/>
      <c r="AD135" s="162"/>
    </row>
    <row r="136" spans="1:30">
      <c r="A136" s="438"/>
      <c r="B136" s="440">
        <v>2008</v>
      </c>
      <c r="C136" s="477">
        <v>3.4000000000000002E-2</v>
      </c>
      <c r="D136" s="478">
        <v>1.5E-3</v>
      </c>
      <c r="E136" s="1298"/>
      <c r="F136" s="1299"/>
      <c r="G136" s="1299"/>
      <c r="H136" s="1300"/>
      <c r="I136" s="774"/>
      <c r="J136" s="774"/>
      <c r="K136" s="162"/>
      <c r="L136" s="162"/>
      <c r="M136" s="162"/>
      <c r="N136" s="162"/>
      <c r="O136" s="162"/>
      <c r="P136" s="162"/>
      <c r="Q136" s="162"/>
      <c r="R136" s="162"/>
      <c r="S136" s="162"/>
      <c r="T136" s="162"/>
      <c r="U136" s="162"/>
      <c r="V136" s="162"/>
      <c r="W136" s="162"/>
      <c r="X136" s="162"/>
      <c r="Y136" s="162"/>
      <c r="Z136" s="162"/>
      <c r="AA136" s="162"/>
      <c r="AB136" s="162"/>
      <c r="AC136" s="162"/>
      <c r="AD136" s="162"/>
    </row>
    <row r="137" spans="1:30">
      <c r="A137" s="438"/>
      <c r="B137" s="440">
        <v>2009</v>
      </c>
      <c r="C137" s="477">
        <v>3.39E-2</v>
      </c>
      <c r="D137" s="478">
        <v>1.5E-3</v>
      </c>
      <c r="E137" s="1298"/>
      <c r="F137" s="1299"/>
      <c r="G137" s="1299"/>
      <c r="H137" s="1300"/>
      <c r="I137" s="774"/>
      <c r="J137" s="774"/>
      <c r="K137" s="162"/>
      <c r="L137" s="162"/>
      <c r="M137" s="162"/>
      <c r="N137" s="162"/>
      <c r="O137" s="162"/>
      <c r="P137" s="162"/>
      <c r="Q137" s="162"/>
      <c r="R137" s="162"/>
      <c r="S137" s="162"/>
      <c r="T137" s="162"/>
      <c r="U137" s="162"/>
      <c r="V137" s="162"/>
      <c r="W137" s="162"/>
      <c r="X137" s="162"/>
      <c r="Y137" s="162"/>
      <c r="Z137" s="162"/>
      <c r="AA137" s="162"/>
      <c r="AB137" s="162"/>
      <c r="AC137" s="162"/>
      <c r="AD137" s="162"/>
    </row>
    <row r="138" spans="1:30">
      <c r="A138" s="438"/>
      <c r="B138" s="440">
        <v>2010</v>
      </c>
      <c r="C138" s="477">
        <v>3.2000000000000001E-2</v>
      </c>
      <c r="D138" s="478">
        <v>1.5E-3</v>
      </c>
      <c r="E138" s="1298"/>
      <c r="F138" s="1299"/>
      <c r="G138" s="1299"/>
      <c r="H138" s="1300"/>
      <c r="I138" s="774"/>
      <c r="J138" s="774"/>
      <c r="K138" s="162"/>
      <c r="L138" s="162"/>
      <c r="M138" s="162"/>
      <c r="N138" s="162"/>
      <c r="O138" s="162"/>
      <c r="P138" s="162"/>
      <c r="Q138" s="162"/>
      <c r="R138" s="162"/>
      <c r="S138" s="162"/>
      <c r="T138" s="162"/>
      <c r="U138" s="162"/>
      <c r="V138" s="162"/>
      <c r="W138" s="162"/>
      <c r="X138" s="162"/>
      <c r="Y138" s="162"/>
      <c r="Z138" s="162"/>
      <c r="AA138" s="162"/>
      <c r="AB138" s="162"/>
      <c r="AC138" s="162"/>
      <c r="AD138" s="162"/>
    </row>
    <row r="139" spans="1:30">
      <c r="A139" s="438"/>
      <c r="B139" s="440">
        <v>2011</v>
      </c>
      <c r="C139" s="477">
        <v>3.04E-2</v>
      </c>
      <c r="D139" s="478">
        <v>1.5E-3</v>
      </c>
      <c r="E139" s="1298"/>
      <c r="F139" s="1299"/>
      <c r="G139" s="1299"/>
      <c r="H139" s="1300"/>
      <c r="I139" s="774"/>
      <c r="J139" s="774"/>
      <c r="K139" s="162"/>
      <c r="L139" s="162"/>
      <c r="M139" s="162"/>
      <c r="N139" s="162"/>
      <c r="O139" s="162"/>
      <c r="P139" s="162"/>
      <c r="Q139" s="162"/>
      <c r="R139" s="162"/>
      <c r="S139" s="162"/>
      <c r="T139" s="162"/>
      <c r="U139" s="162"/>
      <c r="V139" s="162"/>
      <c r="W139" s="162"/>
      <c r="X139" s="162"/>
      <c r="Y139" s="162"/>
      <c r="Z139" s="162"/>
      <c r="AA139" s="162"/>
      <c r="AB139" s="162"/>
      <c r="AC139" s="162"/>
      <c r="AD139" s="162"/>
    </row>
    <row r="140" spans="1:30">
      <c r="A140" s="438"/>
      <c r="B140" s="440">
        <v>2012</v>
      </c>
      <c r="C140" s="477">
        <v>3.1300000000000001E-2</v>
      </c>
      <c r="D140" s="478">
        <v>1.5E-3</v>
      </c>
      <c r="E140" s="1298"/>
      <c r="F140" s="1299"/>
      <c r="G140" s="1299"/>
      <c r="H140" s="1300"/>
      <c r="I140" s="774"/>
      <c r="J140" s="774"/>
      <c r="K140" s="162"/>
      <c r="L140" s="162"/>
      <c r="M140" s="162"/>
      <c r="N140" s="162"/>
      <c r="O140" s="162"/>
      <c r="P140" s="162"/>
      <c r="Q140" s="162"/>
      <c r="R140" s="162"/>
      <c r="S140" s="162"/>
      <c r="T140" s="162"/>
      <c r="U140" s="162"/>
      <c r="V140" s="162"/>
      <c r="W140" s="162"/>
      <c r="X140" s="162"/>
      <c r="Y140" s="162"/>
      <c r="Z140" s="162"/>
      <c r="AA140" s="162"/>
      <c r="AB140" s="162"/>
      <c r="AC140" s="162"/>
      <c r="AD140" s="162"/>
    </row>
    <row r="141" spans="1:30">
      <c r="A141" s="438"/>
      <c r="B141" s="440">
        <v>2013</v>
      </c>
      <c r="C141" s="477">
        <v>3.1300000000000001E-2</v>
      </c>
      <c r="D141" s="478">
        <v>1.5E-3</v>
      </c>
      <c r="E141" s="1298"/>
      <c r="F141" s="1299"/>
      <c r="G141" s="1299"/>
      <c r="H141" s="1300"/>
      <c r="I141" s="774"/>
      <c r="J141" s="774"/>
      <c r="K141" s="162"/>
      <c r="L141" s="162"/>
      <c r="M141" s="162"/>
      <c r="N141" s="162"/>
      <c r="O141" s="162"/>
      <c r="P141" s="162"/>
      <c r="Q141" s="162"/>
      <c r="R141" s="162"/>
      <c r="S141" s="162"/>
      <c r="T141" s="162"/>
      <c r="U141" s="162"/>
      <c r="V141" s="162"/>
      <c r="W141" s="162"/>
      <c r="X141" s="162"/>
      <c r="Y141" s="162"/>
      <c r="Z141" s="162"/>
      <c r="AA141" s="162"/>
      <c r="AB141" s="162"/>
      <c r="AC141" s="162"/>
      <c r="AD141" s="162"/>
    </row>
    <row r="142" spans="1:30">
      <c r="A142" s="438"/>
      <c r="B142" s="440">
        <v>2014</v>
      </c>
      <c r="C142" s="477">
        <v>3.15E-2</v>
      </c>
      <c r="D142" s="478">
        <v>1.5E-3</v>
      </c>
      <c r="E142" s="1298"/>
      <c r="F142" s="1299"/>
      <c r="G142" s="1299"/>
      <c r="H142" s="1300"/>
      <c r="I142" s="774"/>
      <c r="J142" s="774"/>
      <c r="K142" s="162"/>
      <c r="L142" s="162"/>
      <c r="M142" s="162"/>
      <c r="N142" s="162"/>
      <c r="O142" s="162"/>
      <c r="P142" s="162"/>
      <c r="Q142" s="162"/>
      <c r="R142" s="162"/>
      <c r="S142" s="162"/>
      <c r="T142" s="162"/>
      <c r="U142" s="162"/>
      <c r="V142" s="162"/>
      <c r="W142" s="162"/>
      <c r="X142" s="162"/>
      <c r="Y142" s="162"/>
      <c r="Z142" s="162"/>
      <c r="AA142" s="162"/>
      <c r="AB142" s="162"/>
      <c r="AC142" s="162"/>
      <c r="AD142" s="162"/>
    </row>
    <row r="143" spans="1:30">
      <c r="A143" s="438"/>
      <c r="B143" s="440">
        <v>2015</v>
      </c>
      <c r="C143" s="477">
        <v>3.32E-2</v>
      </c>
      <c r="D143" s="478">
        <v>2.0999999999999999E-3</v>
      </c>
      <c r="E143" s="1298"/>
      <c r="F143" s="1299"/>
      <c r="G143" s="1299"/>
      <c r="H143" s="1300"/>
      <c r="I143" s="774"/>
      <c r="J143" s="774"/>
      <c r="K143" s="162"/>
      <c r="L143" s="162"/>
      <c r="M143" s="162"/>
      <c r="N143" s="162"/>
      <c r="O143" s="162"/>
      <c r="P143" s="162"/>
      <c r="Q143" s="162"/>
      <c r="R143" s="162"/>
      <c r="S143" s="162"/>
      <c r="T143" s="162"/>
      <c r="U143" s="162"/>
      <c r="V143" s="162"/>
      <c r="W143" s="162"/>
      <c r="X143" s="162"/>
      <c r="Y143" s="162"/>
      <c r="Z143" s="162"/>
      <c r="AA143" s="162"/>
      <c r="AB143" s="162"/>
      <c r="AC143" s="162"/>
      <c r="AD143" s="162"/>
    </row>
    <row r="144" spans="1:30">
      <c r="A144" s="438"/>
      <c r="B144" s="440">
        <v>2016</v>
      </c>
      <c r="C144" s="477">
        <v>3.2099999999999997E-2</v>
      </c>
      <c r="D144" s="478">
        <v>6.1000000000000004E-3</v>
      </c>
      <c r="E144" s="1298"/>
      <c r="F144" s="1299"/>
      <c r="G144" s="1299"/>
      <c r="H144" s="1300"/>
      <c r="I144" s="774"/>
      <c r="J144" s="774"/>
      <c r="K144" s="162"/>
      <c r="L144" s="162"/>
      <c r="M144" s="162"/>
      <c r="N144" s="162"/>
      <c r="O144" s="162"/>
      <c r="P144" s="162"/>
      <c r="Q144" s="162"/>
      <c r="R144" s="162"/>
      <c r="S144" s="162"/>
      <c r="T144" s="162"/>
      <c r="U144" s="162"/>
      <c r="V144" s="162"/>
      <c r="W144" s="162"/>
      <c r="X144" s="162"/>
      <c r="Y144" s="162"/>
      <c r="Z144" s="162"/>
      <c r="AA144" s="162"/>
      <c r="AB144" s="162"/>
      <c r="AC144" s="162"/>
      <c r="AD144" s="162"/>
    </row>
    <row r="145" spans="1:30">
      <c r="A145" s="438"/>
      <c r="B145" s="440">
        <v>2017</v>
      </c>
      <c r="C145" s="477">
        <v>3.2899999999999999E-2</v>
      </c>
      <c r="D145" s="478">
        <v>8.3999999999999995E-3</v>
      </c>
      <c r="E145" s="1298"/>
      <c r="F145" s="1299"/>
      <c r="G145" s="1299"/>
      <c r="H145" s="1300"/>
      <c r="I145" s="774"/>
      <c r="J145" s="774"/>
      <c r="K145" s="162"/>
      <c r="L145" s="162"/>
      <c r="M145" s="162"/>
      <c r="N145" s="162"/>
      <c r="O145" s="162"/>
      <c r="P145" s="162"/>
      <c r="Q145" s="162"/>
      <c r="R145" s="162"/>
      <c r="S145" s="162"/>
      <c r="T145" s="162"/>
      <c r="U145" s="162"/>
      <c r="V145" s="162"/>
      <c r="W145" s="162"/>
      <c r="X145" s="162"/>
      <c r="Y145" s="162"/>
      <c r="Z145" s="162"/>
      <c r="AA145" s="162"/>
      <c r="AB145" s="162"/>
      <c r="AC145" s="162"/>
      <c r="AD145" s="162"/>
    </row>
    <row r="146" spans="1:30">
      <c r="A146" s="438"/>
      <c r="B146" s="440">
        <v>2018</v>
      </c>
      <c r="C146" s="477">
        <v>3.2599999999999997E-2</v>
      </c>
      <c r="D146" s="478">
        <v>8.2000000000000007E-3</v>
      </c>
      <c r="E146" s="1298"/>
      <c r="F146" s="1299"/>
      <c r="G146" s="1299"/>
      <c r="H146" s="1300"/>
      <c r="I146" s="774"/>
      <c r="J146" s="774"/>
      <c r="K146" s="162"/>
      <c r="L146" s="162"/>
      <c r="M146" s="162"/>
      <c r="N146" s="162"/>
      <c r="O146" s="162"/>
      <c r="P146" s="162"/>
      <c r="Q146" s="162"/>
      <c r="R146" s="162"/>
      <c r="S146" s="162"/>
      <c r="T146" s="162"/>
      <c r="U146" s="162"/>
      <c r="V146" s="162"/>
      <c r="W146" s="162"/>
      <c r="X146" s="162"/>
      <c r="Y146" s="162"/>
      <c r="Z146" s="162"/>
      <c r="AA146" s="162"/>
      <c r="AB146" s="162"/>
      <c r="AC146" s="162"/>
      <c r="AD146" s="162"/>
    </row>
    <row r="147" spans="1:30">
      <c r="A147" s="438"/>
      <c r="B147" s="440">
        <v>2019</v>
      </c>
      <c r="C147" s="477">
        <v>3.3000000000000002E-2</v>
      </c>
      <c r="D147" s="478">
        <v>9.1000000000000004E-3</v>
      </c>
      <c r="E147" s="1298"/>
      <c r="F147" s="1299"/>
      <c r="G147" s="1299"/>
      <c r="H147" s="1300"/>
      <c r="I147" s="774"/>
      <c r="J147" s="774"/>
      <c r="K147" s="162"/>
      <c r="L147" s="162"/>
      <c r="M147" s="162"/>
      <c r="N147" s="162"/>
      <c r="O147" s="162"/>
      <c r="P147" s="162"/>
      <c r="Q147" s="162"/>
      <c r="R147" s="162"/>
      <c r="S147" s="162"/>
      <c r="T147" s="162"/>
      <c r="U147" s="162"/>
      <c r="V147" s="162"/>
      <c r="W147" s="162"/>
      <c r="X147" s="162"/>
      <c r="Y147" s="162"/>
      <c r="Z147" s="162"/>
      <c r="AA147" s="162"/>
      <c r="AB147" s="162"/>
      <c r="AC147" s="162"/>
      <c r="AD147" s="162"/>
    </row>
    <row r="148" spans="1:30">
      <c r="A148" s="438"/>
      <c r="B148" s="1043">
        <v>2020</v>
      </c>
      <c r="C148" s="1069">
        <v>3.2800000000000003E-2</v>
      </c>
      <c r="D148" s="1070">
        <v>9.7999999999999997E-3</v>
      </c>
      <c r="E148" s="1298" t="s">
        <v>1343</v>
      </c>
      <c r="F148" s="1299"/>
      <c r="G148" s="1299"/>
      <c r="H148" s="1300"/>
      <c r="I148" s="774"/>
      <c r="J148" s="774"/>
      <c r="K148" s="162"/>
      <c r="L148" s="162"/>
      <c r="M148" s="162"/>
      <c r="N148" s="162"/>
      <c r="O148" s="162"/>
      <c r="P148" s="162"/>
      <c r="Q148" s="162"/>
      <c r="R148" s="162"/>
      <c r="S148" s="162"/>
      <c r="T148" s="162"/>
      <c r="U148" s="162"/>
      <c r="V148" s="162"/>
      <c r="W148" s="162"/>
      <c r="X148" s="162"/>
      <c r="Y148" s="162"/>
      <c r="Z148" s="162"/>
      <c r="AA148" s="162"/>
      <c r="AB148" s="162"/>
      <c r="AC148" s="162"/>
      <c r="AD148" s="162"/>
    </row>
    <row r="149" spans="1:30" ht="12.6" customHeight="1">
      <c r="A149" s="857"/>
      <c r="B149" s="1064">
        <v>2021</v>
      </c>
      <c r="C149" s="1069">
        <f>$C$148</f>
        <v>3.2800000000000003E-2</v>
      </c>
      <c r="D149" s="1070">
        <f>$D$148</f>
        <v>9.7999999999999997E-3</v>
      </c>
      <c r="E149" s="1356" t="s">
        <v>1344</v>
      </c>
      <c r="F149" s="1299"/>
      <c r="G149" s="1299"/>
      <c r="H149" s="1300"/>
      <c r="I149" s="774"/>
      <c r="J149" s="774"/>
      <c r="K149" s="162"/>
      <c r="L149" s="162"/>
      <c r="M149" s="162"/>
      <c r="N149" s="162"/>
      <c r="O149" s="162"/>
      <c r="P149" s="162"/>
      <c r="Q149" s="162"/>
      <c r="R149" s="162"/>
      <c r="S149" s="162"/>
      <c r="T149" s="162"/>
      <c r="U149" s="162"/>
      <c r="V149" s="162"/>
      <c r="W149" s="162"/>
      <c r="X149" s="162"/>
      <c r="Y149" s="162"/>
      <c r="Z149" s="162"/>
      <c r="AA149" s="162"/>
      <c r="AB149" s="162"/>
      <c r="AC149" s="162"/>
      <c r="AD149" s="162"/>
    </row>
    <row r="150" spans="1:30" ht="12.6" customHeight="1">
      <c r="A150" s="857"/>
      <c r="B150" s="1064">
        <v>2022</v>
      </c>
      <c r="C150" s="1069">
        <f>$C$148</f>
        <v>3.2800000000000003E-2</v>
      </c>
      <c r="D150" s="1070">
        <f>$D$148</f>
        <v>9.7999999999999997E-3</v>
      </c>
      <c r="E150" s="1298" t="s">
        <v>1344</v>
      </c>
      <c r="F150" s="1299"/>
      <c r="G150" s="1299"/>
      <c r="H150" s="1300"/>
      <c r="I150" s="774"/>
      <c r="J150" s="774"/>
      <c r="K150" s="162"/>
      <c r="L150" s="162"/>
      <c r="M150" s="162"/>
      <c r="N150" s="162"/>
      <c r="O150" s="162"/>
      <c r="P150" s="162"/>
      <c r="Q150" s="162"/>
      <c r="R150" s="162"/>
      <c r="S150" s="162"/>
      <c r="T150" s="162"/>
      <c r="U150" s="162"/>
      <c r="V150" s="162"/>
      <c r="W150" s="162"/>
      <c r="X150" s="162"/>
      <c r="Y150" s="162"/>
      <c r="Z150" s="162"/>
      <c r="AA150" s="162"/>
      <c r="AB150" s="162"/>
      <c r="AC150" s="162"/>
      <c r="AD150" s="162"/>
    </row>
    <row r="151" spans="1:30" ht="12.95" customHeight="1" thickBot="1">
      <c r="A151" s="438"/>
      <c r="B151" s="1051">
        <v>2023</v>
      </c>
      <c r="C151" s="1069">
        <f>$C$148</f>
        <v>3.2800000000000003E-2</v>
      </c>
      <c r="D151" s="1070">
        <f>$D$148</f>
        <v>9.7999999999999997E-3</v>
      </c>
      <c r="E151" s="1368" t="s">
        <v>1344</v>
      </c>
      <c r="F151" s="1369"/>
      <c r="G151" s="1369"/>
      <c r="H151" s="1370"/>
      <c r="I151" s="774"/>
      <c r="J151" s="774"/>
      <c r="K151" s="162"/>
      <c r="L151" s="162"/>
      <c r="M151" s="162"/>
      <c r="N151" s="162"/>
      <c r="O151" s="162"/>
      <c r="P151" s="162"/>
      <c r="Q151" s="162"/>
      <c r="R151" s="162"/>
      <c r="S151" s="162"/>
      <c r="T151" s="162"/>
      <c r="U151" s="162"/>
      <c r="V151" s="162"/>
      <c r="W151" s="162"/>
      <c r="X151" s="162"/>
      <c r="Y151" s="162"/>
      <c r="Z151" s="162"/>
      <c r="AA151" s="162"/>
      <c r="AB151" s="162"/>
      <c r="AC151" s="162"/>
      <c r="AD151" s="162"/>
    </row>
    <row r="152" spans="1:30" ht="12.75" customHeight="1">
      <c r="A152" s="1357" t="s">
        <v>743</v>
      </c>
      <c r="B152" s="873" t="s">
        <v>744</v>
      </c>
      <c r="C152" s="874">
        <v>7.0000000000000001E-3</v>
      </c>
      <c r="D152" s="875">
        <v>8.3000000000000001E-3</v>
      </c>
      <c r="E152" s="1371"/>
      <c r="F152" s="1372"/>
      <c r="G152" s="1372"/>
      <c r="H152" s="1373"/>
      <c r="I152" s="774"/>
      <c r="J152" s="774"/>
      <c r="K152" s="162"/>
      <c r="L152" s="162"/>
      <c r="M152" s="162"/>
      <c r="N152" s="162"/>
      <c r="O152" s="162"/>
      <c r="P152" s="162"/>
      <c r="Q152" s="162"/>
      <c r="R152" s="162"/>
      <c r="S152" s="162"/>
      <c r="T152" s="162"/>
      <c r="U152" s="162"/>
      <c r="V152" s="162"/>
      <c r="W152" s="162"/>
      <c r="X152" s="162"/>
      <c r="Y152" s="162"/>
      <c r="Z152" s="162"/>
      <c r="AA152" s="162"/>
      <c r="AB152" s="162"/>
      <c r="AC152" s="162"/>
      <c r="AD152" s="162"/>
    </row>
    <row r="153" spans="1:30" ht="12.75" customHeight="1">
      <c r="A153" s="1358"/>
      <c r="B153" s="1071" t="s">
        <v>1296</v>
      </c>
      <c r="C153" s="1072">
        <v>0</v>
      </c>
      <c r="D153" s="1073">
        <v>0</v>
      </c>
      <c r="E153" s="1301"/>
      <c r="F153" s="1302"/>
      <c r="G153" s="1302"/>
      <c r="H153" s="1303"/>
      <c r="I153" s="774"/>
      <c r="J153" s="774"/>
      <c r="K153" s="162"/>
      <c r="L153" s="162"/>
      <c r="M153" s="162"/>
      <c r="N153" s="162"/>
      <c r="O153" s="162"/>
      <c r="P153" s="162"/>
      <c r="Q153" s="162"/>
      <c r="R153" s="162"/>
      <c r="S153" s="162"/>
      <c r="T153" s="162"/>
      <c r="U153" s="162"/>
      <c r="V153" s="162"/>
      <c r="W153" s="162"/>
      <c r="X153" s="162"/>
      <c r="Y153" s="162"/>
      <c r="Z153" s="162"/>
      <c r="AA153" s="162"/>
      <c r="AB153" s="162"/>
      <c r="AC153" s="162"/>
      <c r="AD153" s="162"/>
    </row>
    <row r="154" spans="1:30" ht="12.95" customHeight="1" thickBot="1">
      <c r="A154" s="1359"/>
      <c r="B154" s="1074" t="s">
        <v>1339</v>
      </c>
      <c r="C154" s="1075">
        <v>7.0000000000000001E-3</v>
      </c>
      <c r="D154" s="1076">
        <v>8.3000000000000001E-3</v>
      </c>
      <c r="E154" s="1374" t="s">
        <v>1345</v>
      </c>
      <c r="F154" s="1375"/>
      <c r="G154" s="1375"/>
      <c r="H154" s="1376"/>
      <c r="I154" s="774"/>
      <c r="J154" s="774"/>
      <c r="K154" s="162"/>
      <c r="L154" s="162"/>
      <c r="M154" s="162"/>
      <c r="N154" s="162"/>
      <c r="O154" s="162"/>
      <c r="P154" s="162"/>
      <c r="Q154" s="162"/>
      <c r="R154" s="162"/>
      <c r="S154" s="162"/>
      <c r="T154" s="162"/>
      <c r="U154" s="162"/>
      <c r="V154" s="162"/>
      <c r="W154" s="162"/>
      <c r="X154" s="162"/>
      <c r="Y154" s="162"/>
      <c r="Z154" s="162"/>
      <c r="AA154" s="162"/>
      <c r="AB154" s="162"/>
      <c r="AC154" s="162"/>
      <c r="AD154" s="162"/>
    </row>
    <row r="155" spans="1:30" ht="12.95" customHeight="1" thickBot="1">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row>
    <row r="156" spans="1:30" ht="28.5" customHeight="1" thickBot="1">
      <c r="A156" s="429" t="s">
        <v>135</v>
      </c>
      <c r="B156" s="663" t="s">
        <v>161</v>
      </c>
      <c r="C156" s="421" t="s">
        <v>252</v>
      </c>
      <c r="D156" s="193" t="s">
        <v>265</v>
      </c>
      <c r="E156" s="194" t="s">
        <v>258</v>
      </c>
      <c r="F156" s="1353" t="s">
        <v>396</v>
      </c>
      <c r="G156" s="1354"/>
      <c r="H156" s="1354"/>
      <c r="I156" s="1355"/>
      <c r="J156" s="162"/>
      <c r="K156" s="162"/>
      <c r="L156" s="162"/>
      <c r="M156" s="162"/>
      <c r="N156" s="162"/>
      <c r="O156" s="162"/>
      <c r="P156" s="162"/>
      <c r="Q156" s="162"/>
      <c r="R156" s="162"/>
      <c r="S156" s="162"/>
      <c r="T156" s="162"/>
      <c r="U156" s="162"/>
      <c r="V156" s="162"/>
      <c r="W156" s="162"/>
      <c r="X156" s="162"/>
      <c r="Y156" s="162"/>
      <c r="Z156" s="162"/>
      <c r="AA156" s="162"/>
      <c r="AB156" s="162"/>
      <c r="AC156" s="162"/>
      <c r="AD156" s="162"/>
    </row>
    <row r="157" spans="1:30">
      <c r="A157" s="1212" t="s">
        <v>134</v>
      </c>
      <c r="B157" s="1214" t="s">
        <v>1027</v>
      </c>
      <c r="C157" s="876" t="s">
        <v>12</v>
      </c>
      <c r="D157" s="877">
        <v>5.9999999999999995E-4</v>
      </c>
      <c r="E157" s="958">
        <v>1.1999999999999999E-3</v>
      </c>
      <c r="F157" s="1360"/>
      <c r="G157" s="1361"/>
      <c r="H157" s="1361"/>
      <c r="I157" s="13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row>
    <row r="158" spans="1:30">
      <c r="A158" s="1218"/>
      <c r="B158" s="1219"/>
      <c r="C158" s="719" t="s">
        <v>1269</v>
      </c>
      <c r="D158" s="877">
        <v>5.0000000000000001E-4</v>
      </c>
      <c r="E158" s="958">
        <v>1E-3</v>
      </c>
      <c r="F158" s="1347"/>
      <c r="G158" s="1348"/>
      <c r="H158" s="1348"/>
      <c r="I158" s="1349"/>
      <c r="J158" s="162"/>
      <c r="K158" s="162"/>
      <c r="L158" s="162"/>
      <c r="M158" s="162"/>
      <c r="N158" s="162"/>
      <c r="O158" s="162"/>
      <c r="P158" s="162"/>
      <c r="Q158" s="162"/>
      <c r="R158" s="162"/>
      <c r="S158" s="162"/>
      <c r="T158" s="162"/>
      <c r="U158" s="162"/>
      <c r="V158" s="162"/>
      <c r="W158" s="162"/>
      <c r="X158" s="162"/>
      <c r="Y158" s="162"/>
      <c r="Z158" s="162"/>
      <c r="AA158" s="162"/>
      <c r="AB158" s="162"/>
      <c r="AC158" s="162"/>
      <c r="AD158" s="162"/>
    </row>
    <row r="159" spans="1:30">
      <c r="A159" s="1352"/>
      <c r="B159" s="1342"/>
      <c r="C159" s="710" t="s">
        <v>1340</v>
      </c>
      <c r="D159" s="877">
        <v>3.0200000000000001E-2</v>
      </c>
      <c r="E159" s="958">
        <v>1.9199999999999998E-2</v>
      </c>
      <c r="F159" s="1350" t="s">
        <v>1345</v>
      </c>
      <c r="G159" s="1348"/>
      <c r="H159" s="1348"/>
      <c r="I159" s="1349"/>
      <c r="J159" s="162"/>
      <c r="K159" s="162"/>
      <c r="L159" s="162"/>
      <c r="M159" s="162"/>
      <c r="N159" s="162"/>
      <c r="O159" s="162"/>
      <c r="P159" s="162"/>
      <c r="Q159" s="162"/>
      <c r="R159" s="162"/>
      <c r="S159" s="162"/>
      <c r="T159" s="162"/>
      <c r="U159" s="162"/>
      <c r="V159" s="162"/>
      <c r="W159" s="162"/>
      <c r="X159" s="162"/>
      <c r="Y159" s="162"/>
      <c r="Z159" s="162"/>
      <c r="AA159" s="162"/>
      <c r="AB159" s="162"/>
      <c r="AC159" s="162"/>
      <c r="AD159" s="162"/>
    </row>
    <row r="160" spans="1:30">
      <c r="A160" s="1351" t="s">
        <v>1028</v>
      </c>
      <c r="B160" s="1341" t="s">
        <v>1027</v>
      </c>
      <c r="C160" s="719" t="s">
        <v>12</v>
      </c>
      <c r="D160" s="878">
        <v>1.1000000000000001E-3</v>
      </c>
      <c r="E160" s="959">
        <v>1.6999999999999999E-3</v>
      </c>
      <c r="F160" s="1347"/>
      <c r="G160" s="1348"/>
      <c r="H160" s="1348"/>
      <c r="I160" s="1349"/>
      <c r="J160" s="162"/>
      <c r="K160" s="162"/>
      <c r="L160" s="162"/>
      <c r="M160" s="162"/>
      <c r="N160" s="162"/>
      <c r="O160" s="162"/>
      <c r="P160" s="162"/>
      <c r="Q160" s="162"/>
      <c r="R160" s="162"/>
      <c r="S160" s="162"/>
      <c r="T160" s="162"/>
      <c r="U160" s="162"/>
      <c r="V160" s="162"/>
      <c r="W160" s="162"/>
      <c r="X160" s="162"/>
      <c r="Y160" s="162"/>
      <c r="Z160" s="162"/>
      <c r="AA160" s="162"/>
      <c r="AB160" s="162"/>
      <c r="AC160" s="162"/>
      <c r="AD160" s="162"/>
    </row>
    <row r="161" spans="1:30">
      <c r="A161" s="1218"/>
      <c r="B161" s="1219"/>
      <c r="C161" s="719" t="s">
        <v>1269</v>
      </c>
      <c r="D161" s="878">
        <v>8.9999999999999998E-4</v>
      </c>
      <c r="E161" s="959">
        <v>1.4E-3</v>
      </c>
      <c r="F161" s="1347"/>
      <c r="G161" s="1348"/>
      <c r="H161" s="1348"/>
      <c r="I161" s="1349"/>
      <c r="J161" s="162"/>
      <c r="K161" s="162"/>
      <c r="L161" s="162"/>
      <c r="M161" s="162"/>
      <c r="N161" s="162"/>
      <c r="O161" s="162"/>
      <c r="P161" s="162"/>
      <c r="Q161" s="162"/>
      <c r="R161" s="162"/>
      <c r="S161" s="162"/>
      <c r="T161" s="162"/>
      <c r="U161" s="162"/>
      <c r="V161" s="162"/>
      <c r="W161" s="162"/>
      <c r="X161" s="162"/>
      <c r="Y161" s="162"/>
      <c r="Z161" s="162"/>
      <c r="AA161" s="162"/>
      <c r="AB161" s="162"/>
      <c r="AC161" s="162"/>
      <c r="AD161" s="162"/>
    </row>
    <row r="162" spans="1:30">
      <c r="A162" s="1352"/>
      <c r="B162" s="1342"/>
      <c r="C162" s="719" t="s">
        <v>1340</v>
      </c>
      <c r="D162" s="878">
        <v>2.9000000000000001E-2</v>
      </c>
      <c r="E162" s="959">
        <v>2.1399999999999999E-2</v>
      </c>
      <c r="F162" s="1350" t="s">
        <v>1345</v>
      </c>
      <c r="G162" s="1348"/>
      <c r="H162" s="1348"/>
      <c r="I162" s="1349"/>
      <c r="J162" s="162"/>
      <c r="K162" s="162"/>
      <c r="L162" s="162"/>
      <c r="M162" s="162"/>
      <c r="N162" s="162"/>
      <c r="O162" s="162"/>
      <c r="P162" s="162"/>
      <c r="Q162" s="162"/>
      <c r="R162" s="162"/>
      <c r="S162" s="162"/>
      <c r="T162" s="162"/>
      <c r="U162" s="162"/>
      <c r="V162" s="162"/>
      <c r="W162" s="162"/>
      <c r="X162" s="162"/>
      <c r="Y162" s="162"/>
      <c r="Z162" s="162"/>
      <c r="AA162" s="162"/>
      <c r="AB162" s="162"/>
      <c r="AC162" s="162"/>
      <c r="AD162" s="162"/>
    </row>
    <row r="163" spans="1:30">
      <c r="A163" s="1351" t="s">
        <v>1029</v>
      </c>
      <c r="B163" s="1341" t="s">
        <v>1027</v>
      </c>
      <c r="C163" s="719" t="s">
        <v>1030</v>
      </c>
      <c r="D163" s="877">
        <v>5.1000000000000004E-3</v>
      </c>
      <c r="E163" s="958">
        <v>4.7999999999999996E-3</v>
      </c>
      <c r="F163" s="1347"/>
      <c r="G163" s="1348"/>
      <c r="H163" s="1348"/>
      <c r="I163" s="1349"/>
      <c r="J163" s="162"/>
      <c r="K163" s="162"/>
      <c r="L163" s="162"/>
      <c r="M163" s="162"/>
      <c r="N163" s="162"/>
      <c r="O163" s="162"/>
      <c r="P163" s="162"/>
      <c r="Q163" s="162"/>
      <c r="R163" s="162"/>
      <c r="S163" s="162"/>
      <c r="T163" s="162"/>
      <c r="U163" s="162"/>
      <c r="V163" s="162"/>
      <c r="W163" s="162"/>
      <c r="X163" s="162"/>
      <c r="Y163" s="162"/>
      <c r="Z163" s="162"/>
      <c r="AA163" s="162"/>
      <c r="AB163" s="162"/>
      <c r="AC163" s="162"/>
      <c r="AD163" s="162"/>
    </row>
    <row r="164" spans="1:30">
      <c r="A164" s="1352"/>
      <c r="B164" s="1342"/>
      <c r="C164" s="719" t="s">
        <v>1340</v>
      </c>
      <c r="D164" s="877">
        <v>9.4999999999999998E-3</v>
      </c>
      <c r="E164" s="958">
        <v>4.3099999999999999E-2</v>
      </c>
      <c r="F164" s="1350" t="s">
        <v>1345</v>
      </c>
      <c r="G164" s="1348"/>
      <c r="H164" s="1348"/>
      <c r="I164" s="1349"/>
      <c r="J164" s="162"/>
      <c r="K164" s="162"/>
      <c r="L164" s="162"/>
      <c r="M164" s="162"/>
      <c r="N164" s="162"/>
      <c r="O164" s="162"/>
      <c r="P164" s="162"/>
      <c r="Q164" s="162"/>
      <c r="R164" s="162"/>
      <c r="S164" s="162"/>
      <c r="T164" s="162"/>
      <c r="U164" s="162"/>
      <c r="V164" s="162"/>
      <c r="W164" s="162"/>
      <c r="X164" s="162"/>
      <c r="Y164" s="162"/>
      <c r="Z164" s="162"/>
      <c r="AA164" s="162"/>
      <c r="AB164" s="162"/>
      <c r="AC164" s="162"/>
      <c r="AD164" s="162"/>
    </row>
    <row r="165" spans="1:30">
      <c r="A165" s="1330" t="s">
        <v>1031</v>
      </c>
      <c r="B165" s="664" t="s">
        <v>1032</v>
      </c>
      <c r="C165" s="649"/>
      <c r="D165" s="877">
        <v>1.4999999999999999E-2</v>
      </c>
      <c r="E165" s="958">
        <v>4.0000000000000001E-3</v>
      </c>
      <c r="F165" s="1347"/>
      <c r="G165" s="1348"/>
      <c r="H165" s="1348"/>
      <c r="I165" s="1349"/>
      <c r="J165" s="162"/>
      <c r="K165" s="162"/>
      <c r="L165" s="162"/>
      <c r="M165" s="162"/>
      <c r="N165" s="162"/>
      <c r="O165" s="162"/>
      <c r="P165" s="162"/>
      <c r="Q165" s="162"/>
      <c r="R165" s="162"/>
      <c r="S165" s="162"/>
      <c r="T165" s="162"/>
      <c r="U165" s="162"/>
      <c r="V165" s="162"/>
      <c r="W165" s="162"/>
      <c r="X165" s="162"/>
      <c r="Y165" s="162"/>
      <c r="Z165" s="162"/>
      <c r="AA165" s="162"/>
      <c r="AB165" s="162"/>
      <c r="AC165" s="162"/>
      <c r="AD165" s="162"/>
    </row>
    <row r="166" spans="1:30">
      <c r="A166" s="1201"/>
      <c r="B166" s="664" t="s">
        <v>183</v>
      </c>
      <c r="C166" s="649"/>
      <c r="D166" s="877">
        <v>1.4999999999999999E-2</v>
      </c>
      <c r="E166" s="958">
        <v>4.0000000000000001E-3</v>
      </c>
      <c r="F166" s="1347"/>
      <c r="G166" s="1348"/>
      <c r="H166" s="1348"/>
      <c r="I166" s="1349"/>
      <c r="J166" s="162"/>
      <c r="K166" s="162"/>
      <c r="L166" s="162"/>
      <c r="M166" s="162"/>
      <c r="N166" s="162"/>
      <c r="O166" s="162"/>
      <c r="P166" s="162"/>
      <c r="Q166" s="162"/>
      <c r="R166" s="162"/>
      <c r="S166" s="162"/>
      <c r="T166" s="162"/>
      <c r="U166" s="162"/>
      <c r="V166" s="162"/>
      <c r="W166" s="162"/>
      <c r="X166" s="162"/>
      <c r="Y166" s="162"/>
      <c r="Z166" s="162"/>
      <c r="AA166" s="162"/>
      <c r="AB166" s="162"/>
      <c r="AC166" s="162"/>
      <c r="AD166" s="162"/>
    </row>
    <row r="167" spans="1:30">
      <c r="A167" s="1201"/>
      <c r="B167" s="664" t="s">
        <v>1033</v>
      </c>
      <c r="C167" s="649"/>
      <c r="D167" s="877">
        <v>0.14599999999999999</v>
      </c>
      <c r="E167" s="958">
        <v>4.0000000000000001E-3</v>
      </c>
      <c r="F167" s="1347"/>
      <c r="G167" s="1348"/>
      <c r="H167" s="1348"/>
      <c r="I167" s="1349"/>
      <c r="J167" s="162"/>
      <c r="K167" s="162"/>
      <c r="L167" s="162"/>
      <c r="M167" s="162"/>
      <c r="N167" s="162"/>
      <c r="O167" s="162"/>
      <c r="P167" s="162"/>
      <c r="Q167" s="162"/>
      <c r="R167" s="162"/>
      <c r="S167" s="162"/>
      <c r="T167" s="162"/>
      <c r="U167" s="162"/>
      <c r="V167" s="162"/>
      <c r="W167" s="162"/>
      <c r="X167" s="162"/>
      <c r="Y167" s="162"/>
      <c r="Z167" s="162"/>
      <c r="AA167" s="162"/>
      <c r="AB167" s="162"/>
      <c r="AC167" s="162"/>
      <c r="AD167" s="162"/>
    </row>
    <row r="168" spans="1:30">
      <c r="A168" s="1201"/>
      <c r="B168" s="664" t="s">
        <v>1034</v>
      </c>
      <c r="C168" s="649"/>
      <c r="D168" s="877">
        <v>1.4999999999999999E-2</v>
      </c>
      <c r="E168" s="958">
        <v>4.0000000000000001E-3</v>
      </c>
      <c r="F168" s="1347"/>
      <c r="G168" s="1348"/>
      <c r="H168" s="1348"/>
      <c r="I168" s="1349"/>
      <c r="J168" s="162"/>
      <c r="K168" s="162"/>
      <c r="L168" s="162"/>
      <c r="M168" s="162"/>
      <c r="N168" s="162"/>
      <c r="O168" s="162"/>
      <c r="P168" s="162"/>
      <c r="Q168" s="162"/>
      <c r="R168" s="162"/>
      <c r="S168" s="162"/>
      <c r="T168" s="162"/>
      <c r="U168" s="162"/>
      <c r="V168" s="162"/>
      <c r="W168" s="162"/>
      <c r="X168" s="162"/>
      <c r="Y168" s="162"/>
      <c r="Z168" s="162"/>
      <c r="AA168" s="162"/>
      <c r="AB168" s="162"/>
      <c r="AC168" s="162"/>
      <c r="AD168" s="162"/>
    </row>
    <row r="169" spans="1:30">
      <c r="A169" s="1331"/>
      <c r="B169" s="664" t="s">
        <v>1035</v>
      </c>
      <c r="C169" s="649"/>
      <c r="D169" s="877">
        <v>0.03</v>
      </c>
      <c r="E169" s="958">
        <v>1.9E-2</v>
      </c>
      <c r="F169" s="1347"/>
      <c r="G169" s="1348"/>
      <c r="H169" s="1348"/>
      <c r="I169" s="1349"/>
      <c r="J169" s="162"/>
      <c r="K169" s="162"/>
      <c r="L169" s="162"/>
      <c r="M169" s="162"/>
      <c r="N169" s="162"/>
      <c r="O169" s="162"/>
      <c r="P169" s="162"/>
      <c r="Q169" s="162"/>
      <c r="R169" s="162"/>
      <c r="S169" s="162"/>
      <c r="T169" s="162"/>
      <c r="U169" s="162"/>
      <c r="V169" s="162"/>
      <c r="W169" s="162"/>
      <c r="X169" s="162"/>
      <c r="Y169" s="162"/>
      <c r="Z169" s="162"/>
      <c r="AA169" s="162"/>
      <c r="AB169" s="162"/>
      <c r="AC169" s="162"/>
      <c r="AD169" s="162"/>
    </row>
    <row r="170" spans="1:30">
      <c r="A170" s="1330" t="s">
        <v>1028</v>
      </c>
      <c r="B170" s="664" t="s">
        <v>183</v>
      </c>
      <c r="C170" s="649"/>
      <c r="D170" s="877">
        <v>1.6E-2</v>
      </c>
      <c r="E170" s="958">
        <v>5.0000000000000001E-3</v>
      </c>
      <c r="F170" s="1347"/>
      <c r="G170" s="1348"/>
      <c r="H170" s="1348"/>
      <c r="I170" s="1349"/>
      <c r="J170" s="162"/>
      <c r="K170" s="162"/>
      <c r="L170" s="162"/>
      <c r="M170" s="162"/>
      <c r="N170" s="162"/>
      <c r="O170" s="162"/>
      <c r="P170" s="162"/>
      <c r="Q170" s="162"/>
      <c r="R170" s="162"/>
      <c r="S170" s="162"/>
      <c r="T170" s="162"/>
      <c r="U170" s="162"/>
      <c r="V170" s="162"/>
      <c r="W170" s="162"/>
      <c r="X170" s="162"/>
      <c r="Y170" s="162"/>
      <c r="Z170" s="162"/>
      <c r="AA170" s="162"/>
      <c r="AB170" s="162"/>
      <c r="AC170" s="162"/>
      <c r="AD170" s="162"/>
    </row>
    <row r="171" spans="1:30">
      <c r="A171" s="1201"/>
      <c r="B171" s="664" t="s">
        <v>1033</v>
      </c>
      <c r="C171" s="649"/>
      <c r="D171" s="877">
        <v>0.158</v>
      </c>
      <c r="E171" s="958">
        <v>5.0000000000000001E-3</v>
      </c>
      <c r="F171" s="1347"/>
      <c r="G171" s="1348"/>
      <c r="H171" s="1348"/>
      <c r="I171" s="1349"/>
      <c r="J171" s="162"/>
      <c r="K171" s="162"/>
      <c r="L171" s="162"/>
      <c r="M171" s="162"/>
      <c r="N171" s="162"/>
      <c r="O171" s="162"/>
      <c r="P171" s="162"/>
      <c r="Q171" s="162"/>
      <c r="R171" s="162"/>
      <c r="S171" s="162"/>
      <c r="T171" s="162"/>
      <c r="U171" s="162"/>
      <c r="V171" s="162"/>
      <c r="W171" s="162"/>
      <c r="X171" s="162"/>
      <c r="Y171" s="162"/>
      <c r="Z171" s="162"/>
      <c r="AA171" s="162"/>
      <c r="AB171" s="162"/>
      <c r="AC171" s="162"/>
      <c r="AD171" s="162"/>
    </row>
    <row r="172" spans="1:30">
      <c r="A172" s="1201"/>
      <c r="B172" s="664" t="s">
        <v>1034</v>
      </c>
      <c r="C172" s="649"/>
      <c r="D172" s="877">
        <v>1.6E-2</v>
      </c>
      <c r="E172" s="958">
        <v>5.0000000000000001E-3</v>
      </c>
      <c r="F172" s="1347"/>
      <c r="G172" s="1348"/>
      <c r="H172" s="1348"/>
      <c r="I172" s="1349"/>
      <c r="J172" s="162"/>
      <c r="K172" s="162"/>
      <c r="L172" s="162"/>
      <c r="M172" s="162"/>
      <c r="N172" s="162"/>
      <c r="O172" s="162"/>
      <c r="P172" s="162"/>
      <c r="Q172" s="162"/>
      <c r="R172" s="162"/>
      <c r="S172" s="162"/>
      <c r="T172" s="162"/>
      <c r="U172" s="162"/>
      <c r="V172" s="162"/>
      <c r="W172" s="162"/>
      <c r="X172" s="162"/>
      <c r="Y172" s="162"/>
      <c r="Z172" s="162"/>
      <c r="AA172" s="162"/>
      <c r="AB172" s="162"/>
      <c r="AC172" s="162"/>
      <c r="AD172" s="162"/>
    </row>
    <row r="173" spans="1:30">
      <c r="A173" s="1201"/>
      <c r="B173" s="664" t="s">
        <v>1036</v>
      </c>
      <c r="C173" s="649"/>
      <c r="D173" s="877">
        <v>0.158</v>
      </c>
      <c r="E173" s="958">
        <v>5.0000000000000001E-3</v>
      </c>
      <c r="F173" s="1347"/>
      <c r="G173" s="1348"/>
      <c r="H173" s="1348"/>
      <c r="I173" s="1349"/>
      <c r="J173" s="162"/>
      <c r="K173" s="162"/>
      <c r="L173" s="162"/>
      <c r="M173" s="162"/>
      <c r="N173" s="162"/>
      <c r="O173" s="162"/>
      <c r="P173" s="162"/>
      <c r="Q173" s="162"/>
      <c r="R173" s="162"/>
      <c r="S173" s="162"/>
      <c r="T173" s="162"/>
      <c r="U173" s="162"/>
      <c r="V173" s="162"/>
      <c r="W173" s="162"/>
      <c r="X173" s="162"/>
      <c r="Y173" s="162"/>
      <c r="Z173" s="162"/>
      <c r="AA173" s="162"/>
      <c r="AB173" s="162"/>
      <c r="AC173" s="162"/>
      <c r="AD173" s="162"/>
    </row>
    <row r="174" spans="1:30">
      <c r="A174" s="1331"/>
      <c r="B174" s="664" t="s">
        <v>1035</v>
      </c>
      <c r="C174" s="649"/>
      <c r="D174" s="877">
        <v>2.9000000000000001E-2</v>
      </c>
      <c r="E174" s="958">
        <v>2.1000000000000001E-2</v>
      </c>
      <c r="F174" s="1347"/>
      <c r="G174" s="1348"/>
      <c r="H174" s="1348"/>
      <c r="I174" s="1349"/>
      <c r="J174" s="162"/>
      <c r="K174" s="162"/>
      <c r="L174" s="162"/>
      <c r="M174" s="162"/>
      <c r="N174" s="162"/>
      <c r="O174" s="162"/>
      <c r="P174" s="162"/>
      <c r="Q174" s="162"/>
      <c r="R174" s="162"/>
      <c r="S174" s="162"/>
      <c r="T174" s="162"/>
      <c r="U174" s="162"/>
      <c r="V174" s="162"/>
      <c r="W174" s="162"/>
      <c r="X174" s="162"/>
      <c r="Y174" s="162"/>
      <c r="Z174" s="162"/>
      <c r="AA174" s="162"/>
      <c r="AB174" s="162"/>
      <c r="AC174" s="162"/>
      <c r="AD174" s="162"/>
    </row>
    <row r="175" spans="1:30">
      <c r="A175" s="1330" t="s">
        <v>1037</v>
      </c>
      <c r="B175" s="664" t="s">
        <v>1033</v>
      </c>
      <c r="C175" s="649"/>
      <c r="D175" s="877">
        <v>1.829</v>
      </c>
      <c r="E175" s="958">
        <v>1E-3</v>
      </c>
      <c r="F175" s="1347"/>
      <c r="G175" s="1348"/>
      <c r="H175" s="1348"/>
      <c r="I175" s="1349"/>
      <c r="J175" s="162"/>
      <c r="K175" s="162"/>
      <c r="L175" s="162"/>
      <c r="M175" s="162"/>
      <c r="N175" s="162"/>
      <c r="O175" s="162"/>
      <c r="P175" s="162"/>
      <c r="Q175" s="162"/>
      <c r="R175" s="162"/>
      <c r="S175" s="162"/>
      <c r="T175" s="162"/>
      <c r="U175" s="162"/>
      <c r="V175" s="162"/>
      <c r="W175" s="162"/>
      <c r="X175" s="162"/>
      <c r="Y175" s="162"/>
      <c r="Z175" s="162"/>
      <c r="AA175" s="162"/>
      <c r="AB175" s="162"/>
      <c r="AC175" s="162"/>
      <c r="AD175" s="162"/>
    </row>
    <row r="176" spans="1:30">
      <c r="A176" s="1201"/>
      <c r="B176" s="664" t="s">
        <v>1034</v>
      </c>
      <c r="C176" s="649"/>
      <c r="D176" s="877">
        <v>8.9999999999999993E-3</v>
      </c>
      <c r="E176" s="958">
        <v>1.7999999999999999E-2</v>
      </c>
      <c r="F176" s="1347"/>
      <c r="G176" s="1348"/>
      <c r="H176" s="1348"/>
      <c r="I176" s="1349"/>
      <c r="J176" s="162"/>
      <c r="K176" s="162"/>
      <c r="L176" s="162"/>
      <c r="M176" s="162"/>
      <c r="N176" s="162"/>
      <c r="O176" s="162"/>
      <c r="P176" s="162"/>
      <c r="Q176" s="162"/>
      <c r="R176" s="162"/>
      <c r="S176" s="162"/>
      <c r="T176" s="162"/>
      <c r="U176" s="162"/>
      <c r="V176" s="162"/>
      <c r="W176" s="162"/>
      <c r="X176" s="162"/>
      <c r="Y176" s="162"/>
      <c r="Z176" s="162"/>
      <c r="AA176" s="162"/>
      <c r="AB176" s="162"/>
      <c r="AC176" s="162"/>
      <c r="AD176" s="162"/>
    </row>
    <row r="177" spans="1:30">
      <c r="A177" s="1201"/>
      <c r="B177" s="664" t="s">
        <v>1036</v>
      </c>
      <c r="C177" s="649"/>
      <c r="D177" s="877">
        <v>1.829</v>
      </c>
      <c r="E177" s="958">
        <v>1E-3</v>
      </c>
      <c r="F177" s="1347"/>
      <c r="G177" s="1348"/>
      <c r="H177" s="1348"/>
      <c r="I177" s="1349"/>
      <c r="J177" s="162"/>
      <c r="K177" s="162"/>
      <c r="L177" s="162"/>
      <c r="M177" s="162"/>
      <c r="N177" s="162"/>
      <c r="O177" s="162"/>
      <c r="P177" s="162"/>
      <c r="Q177" s="162"/>
      <c r="R177" s="162"/>
      <c r="S177" s="162"/>
      <c r="T177" s="162"/>
      <c r="U177" s="162"/>
      <c r="V177" s="162"/>
      <c r="W177" s="162"/>
      <c r="X177" s="162"/>
      <c r="Y177" s="162"/>
      <c r="Z177" s="162"/>
      <c r="AA177" s="162"/>
      <c r="AB177" s="162"/>
      <c r="AC177" s="162"/>
      <c r="AD177" s="162"/>
    </row>
    <row r="178" spans="1:30">
      <c r="A178" s="1331"/>
      <c r="B178" s="664" t="s">
        <v>1035</v>
      </c>
      <c r="C178" s="649"/>
      <c r="D178" s="877">
        <v>8.9999999999999993E-3</v>
      </c>
      <c r="E178" s="958">
        <v>4.2999999999999997E-2</v>
      </c>
      <c r="F178" s="1347"/>
      <c r="G178" s="1348"/>
      <c r="H178" s="1348"/>
      <c r="I178" s="1349"/>
      <c r="J178" s="162"/>
      <c r="K178" s="162"/>
      <c r="L178" s="162"/>
      <c r="M178" s="162"/>
      <c r="N178" s="162"/>
      <c r="O178" s="162"/>
      <c r="P178" s="162"/>
      <c r="Q178" s="162"/>
      <c r="R178" s="162"/>
      <c r="S178" s="162"/>
      <c r="T178" s="162"/>
      <c r="U178" s="162"/>
      <c r="V178" s="162"/>
      <c r="W178" s="162"/>
      <c r="X178" s="162"/>
      <c r="Y178" s="162"/>
      <c r="Z178" s="162"/>
      <c r="AA178" s="162"/>
      <c r="AB178" s="162"/>
      <c r="AC178" s="162"/>
      <c r="AD178" s="162"/>
    </row>
    <row r="179" spans="1:30">
      <c r="A179" s="1330" t="s">
        <v>1038</v>
      </c>
      <c r="B179" s="664" t="s">
        <v>1032</v>
      </c>
      <c r="C179" s="649"/>
      <c r="D179" s="877">
        <v>7.4999999999999997E-2</v>
      </c>
      <c r="E179" s="958">
        <v>2.8000000000000001E-2</v>
      </c>
      <c r="F179" s="1347"/>
      <c r="G179" s="1348"/>
      <c r="H179" s="1348"/>
      <c r="I179" s="1349"/>
      <c r="J179" s="162"/>
      <c r="K179" s="162"/>
      <c r="L179" s="162"/>
      <c r="M179" s="162"/>
      <c r="N179" s="162"/>
      <c r="O179" s="162"/>
      <c r="P179" s="162"/>
      <c r="Q179" s="162"/>
      <c r="R179" s="162"/>
      <c r="S179" s="162"/>
      <c r="T179" s="162"/>
      <c r="U179" s="162"/>
      <c r="V179" s="162"/>
      <c r="W179" s="162"/>
      <c r="X179" s="162"/>
      <c r="Y179" s="162"/>
      <c r="Z179" s="162"/>
      <c r="AA179" s="162"/>
      <c r="AB179" s="162"/>
      <c r="AC179" s="162"/>
      <c r="AD179" s="162"/>
    </row>
    <row r="180" spans="1:30">
      <c r="A180" s="1201"/>
      <c r="B180" s="664" t="s">
        <v>183</v>
      </c>
      <c r="C180" s="649"/>
      <c r="D180" s="877">
        <v>7.4999999999999997E-2</v>
      </c>
      <c r="E180" s="958">
        <v>2.8000000000000001E-2</v>
      </c>
      <c r="F180" s="1347"/>
      <c r="G180" s="1348"/>
      <c r="H180" s="1348"/>
      <c r="I180" s="1349"/>
      <c r="J180" s="162"/>
      <c r="K180" s="162"/>
      <c r="L180" s="162"/>
      <c r="M180" s="162"/>
      <c r="N180" s="162"/>
      <c r="O180" s="162"/>
      <c r="P180" s="162"/>
      <c r="Q180" s="162"/>
      <c r="R180" s="162"/>
      <c r="S180" s="162"/>
      <c r="T180" s="162"/>
      <c r="U180" s="162"/>
      <c r="V180" s="162"/>
      <c r="W180" s="162"/>
      <c r="X180" s="162"/>
      <c r="Y180" s="162"/>
      <c r="Z180" s="162"/>
      <c r="AA180" s="162"/>
      <c r="AB180" s="162"/>
      <c r="AC180" s="162"/>
      <c r="AD180" s="162"/>
    </row>
    <row r="181" spans="1:30">
      <c r="A181" s="1201"/>
      <c r="B181" s="664" t="s">
        <v>1033</v>
      </c>
      <c r="C181" s="649"/>
      <c r="D181" s="877">
        <v>0.92100000000000004</v>
      </c>
      <c r="E181" s="1077">
        <v>0</v>
      </c>
      <c r="F181" s="1347"/>
      <c r="G181" s="1348"/>
      <c r="H181" s="1348"/>
      <c r="I181" s="1349"/>
      <c r="J181" s="162"/>
      <c r="K181" s="162"/>
      <c r="L181" s="162"/>
      <c r="M181" s="162"/>
      <c r="N181" s="162"/>
      <c r="O181" s="162"/>
      <c r="P181" s="162"/>
      <c r="Q181" s="162"/>
      <c r="R181" s="162"/>
      <c r="S181" s="162"/>
      <c r="T181" s="162"/>
      <c r="U181" s="162"/>
      <c r="V181" s="162"/>
      <c r="W181" s="162"/>
      <c r="X181" s="162"/>
      <c r="Y181" s="162"/>
      <c r="Z181" s="162"/>
      <c r="AA181" s="162"/>
      <c r="AB181" s="162"/>
      <c r="AC181" s="162"/>
      <c r="AD181" s="162"/>
    </row>
    <row r="182" spans="1:30">
      <c r="A182" s="1201"/>
      <c r="B182" s="664" t="s">
        <v>1034</v>
      </c>
      <c r="C182" s="649"/>
      <c r="D182" s="877">
        <v>3.0000000000000001E-3</v>
      </c>
      <c r="E182" s="958">
        <v>7.0000000000000001E-3</v>
      </c>
      <c r="F182" s="1347"/>
      <c r="G182" s="1348"/>
      <c r="H182" s="1348"/>
      <c r="I182" s="1349"/>
      <c r="J182" s="162"/>
      <c r="K182" s="162"/>
      <c r="L182" s="162"/>
      <c r="M182" s="162"/>
      <c r="N182" s="162"/>
      <c r="O182" s="162"/>
      <c r="P182" s="162"/>
      <c r="Q182" s="162"/>
      <c r="R182" s="162"/>
      <c r="S182" s="162"/>
      <c r="T182" s="162"/>
      <c r="U182" s="162"/>
      <c r="V182" s="162"/>
      <c r="W182" s="162"/>
      <c r="X182" s="162"/>
      <c r="Y182" s="162"/>
      <c r="Z182" s="162"/>
      <c r="AA182" s="162"/>
      <c r="AB182" s="162"/>
      <c r="AC182" s="162"/>
      <c r="AD182" s="162"/>
    </row>
    <row r="183" spans="1:30">
      <c r="A183" s="1201"/>
      <c r="B183" s="664" t="s">
        <v>1036</v>
      </c>
      <c r="C183" s="649"/>
      <c r="D183" s="877">
        <v>0.92100000000000004</v>
      </c>
      <c r="E183" s="1077">
        <v>0</v>
      </c>
      <c r="F183" s="1347"/>
      <c r="G183" s="1348"/>
      <c r="H183" s="1348"/>
      <c r="I183" s="1349"/>
      <c r="J183" s="162"/>
      <c r="K183" s="162"/>
      <c r="L183" s="162"/>
      <c r="M183" s="162"/>
      <c r="N183" s="162"/>
      <c r="O183" s="162"/>
      <c r="P183" s="162"/>
      <c r="Q183" s="162"/>
      <c r="R183" s="162"/>
      <c r="S183" s="162"/>
      <c r="T183" s="162"/>
      <c r="U183" s="162"/>
      <c r="V183" s="162"/>
      <c r="W183" s="162"/>
      <c r="X183" s="162"/>
      <c r="Y183" s="162"/>
      <c r="Z183" s="162"/>
      <c r="AA183" s="162"/>
      <c r="AB183" s="162"/>
      <c r="AC183" s="162"/>
      <c r="AD183" s="162"/>
    </row>
    <row r="184" spans="1:30">
      <c r="A184" s="1331"/>
      <c r="B184" s="664" t="s">
        <v>1035</v>
      </c>
      <c r="C184" s="649"/>
      <c r="D184" s="877">
        <v>8.9999999999999993E-3</v>
      </c>
      <c r="E184" s="958">
        <v>4.2999999999999997E-2</v>
      </c>
      <c r="F184" s="1347"/>
      <c r="G184" s="1348"/>
      <c r="H184" s="1348"/>
      <c r="I184" s="1349"/>
      <c r="J184" s="162"/>
      <c r="K184" s="162"/>
      <c r="L184" s="162"/>
      <c r="M184" s="162"/>
      <c r="N184" s="162"/>
      <c r="O184" s="162"/>
      <c r="P184" s="162"/>
      <c r="Q184" s="162"/>
      <c r="R184" s="162"/>
      <c r="S184" s="162"/>
      <c r="T184" s="162"/>
      <c r="U184" s="162"/>
      <c r="V184" s="162"/>
      <c r="W184" s="162"/>
      <c r="X184" s="162"/>
      <c r="Y184" s="162"/>
      <c r="Z184" s="162"/>
      <c r="AA184" s="162"/>
      <c r="AB184" s="162"/>
      <c r="AC184" s="162"/>
      <c r="AD184" s="162"/>
    </row>
    <row r="185" spans="1:30">
      <c r="A185" s="1330" t="s">
        <v>1039</v>
      </c>
      <c r="B185" s="664" t="s">
        <v>1032</v>
      </c>
      <c r="C185" s="649"/>
      <c r="D185" s="877">
        <v>0.10199999999999999</v>
      </c>
      <c r="E185" s="958">
        <v>4.7E-2</v>
      </c>
      <c r="F185" s="1347"/>
      <c r="G185" s="1348"/>
      <c r="H185" s="1348"/>
      <c r="I185" s="1349"/>
      <c r="J185" s="162"/>
      <c r="K185" s="162"/>
      <c r="L185" s="162"/>
      <c r="M185" s="162"/>
      <c r="N185" s="162"/>
      <c r="O185" s="162"/>
      <c r="P185" s="162"/>
      <c r="Q185" s="162"/>
      <c r="R185" s="162"/>
      <c r="S185" s="162"/>
      <c r="T185" s="162"/>
      <c r="U185" s="162"/>
      <c r="V185" s="162"/>
      <c r="W185" s="162"/>
      <c r="X185" s="162"/>
      <c r="Y185" s="162"/>
      <c r="Z185" s="162"/>
      <c r="AA185" s="162"/>
      <c r="AB185" s="162"/>
      <c r="AC185" s="162"/>
      <c r="AD185" s="162"/>
    </row>
    <row r="186" spans="1:30">
      <c r="A186" s="1201"/>
      <c r="B186" s="665" t="s">
        <v>183</v>
      </c>
      <c r="C186" s="649"/>
      <c r="D186" s="877">
        <v>0.10199999999999999</v>
      </c>
      <c r="E186" s="958">
        <v>4.7E-2</v>
      </c>
      <c r="F186" s="1347"/>
      <c r="G186" s="1348"/>
      <c r="H186" s="1348"/>
      <c r="I186" s="1349"/>
      <c r="J186" s="162"/>
      <c r="K186" s="162"/>
      <c r="L186" s="162"/>
      <c r="M186" s="162"/>
      <c r="N186" s="162"/>
      <c r="O186" s="162"/>
      <c r="P186" s="162"/>
      <c r="Q186" s="162"/>
      <c r="R186" s="162"/>
      <c r="S186" s="162"/>
      <c r="T186" s="162"/>
      <c r="U186" s="162"/>
      <c r="V186" s="162"/>
      <c r="W186" s="162"/>
      <c r="X186" s="162"/>
      <c r="Y186" s="162"/>
      <c r="Z186" s="162"/>
      <c r="AA186" s="162"/>
      <c r="AB186" s="162"/>
      <c r="AC186" s="162"/>
      <c r="AD186" s="162"/>
    </row>
    <row r="187" spans="1:30">
      <c r="A187" s="1201"/>
      <c r="B187" s="665" t="s">
        <v>1033</v>
      </c>
      <c r="C187" s="649"/>
      <c r="D187" s="877">
        <v>2.7869999999999999</v>
      </c>
      <c r="E187" s="958">
        <v>1E-3</v>
      </c>
      <c r="F187" s="1347"/>
      <c r="G187" s="1348"/>
      <c r="H187" s="1348"/>
      <c r="I187" s="1349"/>
      <c r="J187" s="162"/>
      <c r="K187" s="162"/>
      <c r="L187" s="162"/>
      <c r="M187" s="162"/>
      <c r="N187" s="162"/>
      <c r="O187" s="162"/>
      <c r="P187" s="162"/>
      <c r="Q187" s="162"/>
      <c r="R187" s="162"/>
      <c r="S187" s="162"/>
      <c r="T187" s="162"/>
      <c r="U187" s="162"/>
      <c r="V187" s="162"/>
      <c r="W187" s="162"/>
      <c r="X187" s="162"/>
      <c r="Y187" s="162"/>
      <c r="Z187" s="162"/>
      <c r="AA187" s="162"/>
      <c r="AB187" s="162"/>
      <c r="AC187" s="162"/>
      <c r="AD187" s="162"/>
    </row>
    <row r="188" spans="1:30">
      <c r="A188" s="1201"/>
      <c r="B188" s="665" t="s">
        <v>1034</v>
      </c>
      <c r="C188" s="649"/>
      <c r="D188" s="877">
        <v>0.01</v>
      </c>
      <c r="E188" s="958">
        <v>1.0999999999999999E-2</v>
      </c>
      <c r="F188" s="1347"/>
      <c r="G188" s="1348"/>
      <c r="H188" s="1348"/>
      <c r="I188" s="1349"/>
      <c r="J188" s="162"/>
      <c r="K188" s="162"/>
      <c r="L188" s="162"/>
      <c r="M188" s="162"/>
      <c r="N188" s="162"/>
      <c r="O188" s="162"/>
      <c r="P188" s="162"/>
      <c r="Q188" s="162"/>
      <c r="R188" s="162"/>
      <c r="S188" s="162"/>
      <c r="T188" s="162"/>
      <c r="U188" s="162"/>
      <c r="V188" s="162"/>
      <c r="W188" s="162"/>
      <c r="X188" s="162"/>
      <c r="Y188" s="162"/>
      <c r="Z188" s="162"/>
      <c r="AA188" s="162"/>
      <c r="AB188" s="162"/>
      <c r="AC188" s="162"/>
      <c r="AD188" s="162"/>
    </row>
    <row r="189" spans="1:30">
      <c r="A189" s="1201"/>
      <c r="B189" s="665" t="s">
        <v>1036</v>
      </c>
      <c r="C189" s="649"/>
      <c r="D189" s="877">
        <v>2.7869999999999999</v>
      </c>
      <c r="E189" s="958">
        <v>1E-3</v>
      </c>
      <c r="F189" s="1347"/>
      <c r="G189" s="1348"/>
      <c r="H189" s="1348"/>
      <c r="I189" s="1349"/>
      <c r="J189" s="162"/>
      <c r="K189" s="162"/>
      <c r="L189" s="162"/>
      <c r="M189" s="162"/>
      <c r="N189" s="162"/>
      <c r="O189" s="162"/>
      <c r="P189" s="162"/>
      <c r="Q189" s="162"/>
      <c r="R189" s="162"/>
      <c r="S189" s="162"/>
      <c r="T189" s="162"/>
      <c r="U189" s="162"/>
      <c r="V189" s="162"/>
      <c r="W189" s="162"/>
      <c r="X189" s="162"/>
      <c r="Y189" s="162"/>
      <c r="Z189" s="162"/>
      <c r="AA189" s="162"/>
      <c r="AB189" s="162"/>
      <c r="AC189" s="162"/>
      <c r="AD189" s="162"/>
    </row>
    <row r="190" spans="1:30" ht="13.5" thickBot="1">
      <c r="A190" s="1202"/>
      <c r="B190" s="666" t="s">
        <v>1035</v>
      </c>
      <c r="C190" s="651"/>
      <c r="D190" s="1078">
        <v>8.9999999999999993E-3</v>
      </c>
      <c r="E190" s="1079">
        <v>4.2999999999999997E-2</v>
      </c>
      <c r="F190" s="1368"/>
      <c r="G190" s="1369"/>
      <c r="H190" s="1369"/>
      <c r="I190" s="1370"/>
      <c r="J190" s="162"/>
      <c r="K190" s="162"/>
      <c r="L190" s="162"/>
      <c r="M190" s="162"/>
      <c r="N190" s="162"/>
      <c r="O190" s="162"/>
      <c r="P190" s="162"/>
      <c r="Q190" s="162"/>
      <c r="R190" s="162"/>
      <c r="S190" s="162"/>
      <c r="T190" s="162"/>
      <c r="U190" s="162"/>
      <c r="V190" s="162"/>
      <c r="W190" s="162"/>
      <c r="X190" s="162"/>
      <c r="Y190" s="162"/>
      <c r="Z190" s="162"/>
      <c r="AA190" s="162"/>
      <c r="AB190" s="162"/>
      <c r="AC190" s="162"/>
      <c r="AD190" s="162"/>
    </row>
    <row r="191" spans="1:30">
      <c r="A191" s="475"/>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row>
    <row r="192" spans="1:30" ht="15" thickBot="1">
      <c r="A192" s="161" t="s">
        <v>739</v>
      </c>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row>
    <row r="193" spans="1:30" ht="27.75" thickBot="1">
      <c r="A193" s="667" t="s">
        <v>1359</v>
      </c>
      <c r="B193" s="663" t="s">
        <v>161</v>
      </c>
      <c r="C193" s="663" t="s">
        <v>740</v>
      </c>
      <c r="D193" s="668" t="s">
        <v>741</v>
      </c>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row>
    <row r="194" spans="1:30">
      <c r="A194" s="1200" t="s">
        <v>1040</v>
      </c>
      <c r="B194" s="664" t="s">
        <v>735</v>
      </c>
      <c r="C194" s="977">
        <v>1.1100000000000001</v>
      </c>
      <c r="D194" s="978">
        <v>0.32</v>
      </c>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row>
    <row r="195" spans="1:30">
      <c r="A195" s="1201"/>
      <c r="B195" s="664" t="s">
        <v>1199</v>
      </c>
      <c r="C195" s="980">
        <v>4.6100000000000003</v>
      </c>
      <c r="D195" s="979">
        <v>0.08</v>
      </c>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row>
    <row r="196" spans="1:30" ht="13.35" customHeight="1">
      <c r="A196" s="1201"/>
      <c r="B196" s="664" t="s">
        <v>1200</v>
      </c>
      <c r="C196" s="980">
        <v>2.25</v>
      </c>
      <c r="D196" s="979">
        <v>0.01</v>
      </c>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row>
    <row r="197" spans="1:30">
      <c r="A197" s="1331"/>
      <c r="B197" s="664" t="s">
        <v>1027</v>
      </c>
      <c r="C197" s="980">
        <v>6.41</v>
      </c>
      <c r="D197" s="979">
        <v>0.17</v>
      </c>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row>
    <row r="198" spans="1:30">
      <c r="A198" s="640" t="s">
        <v>1041</v>
      </c>
      <c r="B198" s="664" t="s">
        <v>1027</v>
      </c>
      <c r="C198" s="980">
        <v>0.8</v>
      </c>
      <c r="D198" s="979">
        <v>0.26</v>
      </c>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row>
    <row r="199" spans="1:30">
      <c r="A199" s="1330" t="s">
        <v>205</v>
      </c>
      <c r="B199" s="664" t="s">
        <v>1042</v>
      </c>
      <c r="C199" s="981">
        <v>0</v>
      </c>
      <c r="D199" s="979">
        <v>0.3</v>
      </c>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row>
    <row r="200" spans="1:30">
      <c r="A200" s="1331"/>
      <c r="B200" s="664" t="s">
        <v>580</v>
      </c>
      <c r="C200" s="980">
        <v>7.06</v>
      </c>
      <c r="D200" s="979">
        <v>0.11</v>
      </c>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row>
    <row r="201" spans="1:30" ht="12.6" customHeight="1">
      <c r="A201" s="1330" t="s">
        <v>1207</v>
      </c>
      <c r="B201" s="664" t="s">
        <v>1199</v>
      </c>
      <c r="C201" s="980">
        <v>6.92</v>
      </c>
      <c r="D201" s="979">
        <v>0.47</v>
      </c>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row>
    <row r="202" spans="1:30">
      <c r="A202" s="1201"/>
      <c r="B202" s="664" t="s">
        <v>1200</v>
      </c>
      <c r="C202" s="980">
        <v>1.93</v>
      </c>
      <c r="D202" s="979">
        <v>1.2</v>
      </c>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row>
    <row r="203" spans="1:30">
      <c r="A203" s="1201"/>
      <c r="B203" s="664" t="s">
        <v>1357</v>
      </c>
      <c r="C203" s="980">
        <v>1.93</v>
      </c>
      <c r="D203" s="979">
        <v>1.2</v>
      </c>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row>
    <row r="204" spans="1:30">
      <c r="A204" s="1201"/>
      <c r="B204" s="664" t="s">
        <v>1297</v>
      </c>
      <c r="C204" s="980">
        <v>1.27</v>
      </c>
      <c r="D204" s="979">
        <v>1.07</v>
      </c>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row>
    <row r="205" spans="1:30">
      <c r="A205" s="1201"/>
      <c r="B205" s="664" t="s">
        <v>1358</v>
      </c>
      <c r="C205" s="980">
        <v>0.91</v>
      </c>
      <c r="D205" s="979">
        <v>0.56000000000000005</v>
      </c>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row>
    <row r="206" spans="1:30">
      <c r="A206" s="1331"/>
      <c r="B206" s="664" t="s">
        <v>1034</v>
      </c>
      <c r="C206" s="980">
        <v>0.33</v>
      </c>
      <c r="D206" s="979">
        <v>0.94</v>
      </c>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row>
    <row r="207" spans="1:30" ht="12.6" customHeight="1">
      <c r="A207" s="1330" t="s">
        <v>1208</v>
      </c>
      <c r="B207" s="664" t="s">
        <v>1199</v>
      </c>
      <c r="C207" s="980">
        <v>7.98</v>
      </c>
      <c r="D207" s="979">
        <v>0.12</v>
      </c>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row>
    <row r="208" spans="1:30">
      <c r="A208" s="1201"/>
      <c r="B208" s="664" t="s">
        <v>1200</v>
      </c>
      <c r="C208" s="980">
        <v>2.85</v>
      </c>
      <c r="D208" s="979">
        <v>1.47</v>
      </c>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row>
    <row r="209" spans="1:30">
      <c r="A209" s="1201"/>
      <c r="B209" s="664" t="s">
        <v>1357</v>
      </c>
      <c r="C209" s="980">
        <v>2.85</v>
      </c>
      <c r="D209" s="979">
        <v>1.48</v>
      </c>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row>
    <row r="210" spans="1:30">
      <c r="A210" s="1201"/>
      <c r="B210" s="664" t="s">
        <v>1297</v>
      </c>
      <c r="C210" s="980">
        <v>1.01</v>
      </c>
      <c r="D210" s="979">
        <v>0.94</v>
      </c>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row>
    <row r="211" spans="1:30">
      <c r="A211" s="1201"/>
      <c r="B211" s="664" t="s">
        <v>1358</v>
      </c>
      <c r="C211" s="980">
        <v>0.91</v>
      </c>
      <c r="D211" s="979">
        <v>0.56000000000000005</v>
      </c>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row>
    <row r="212" spans="1:30">
      <c r="A212" s="1331"/>
      <c r="B212" s="732" t="s">
        <v>1034</v>
      </c>
      <c r="C212" s="980">
        <v>0.59</v>
      </c>
      <c r="D212" s="979">
        <v>0.5</v>
      </c>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row>
    <row r="213" spans="1:30">
      <c r="A213" s="1330" t="s">
        <v>1201</v>
      </c>
      <c r="B213" s="664" t="s">
        <v>1199</v>
      </c>
      <c r="C213" s="980">
        <v>7.28</v>
      </c>
      <c r="D213" s="979">
        <v>0.31</v>
      </c>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row>
    <row r="214" spans="1:30">
      <c r="A214" s="1201"/>
      <c r="B214" s="664" t="s">
        <v>1200</v>
      </c>
      <c r="C214" s="980">
        <v>2.99</v>
      </c>
      <c r="D214" s="979">
        <v>1.49</v>
      </c>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row>
    <row r="215" spans="1:30">
      <c r="A215" s="1201"/>
      <c r="B215" s="664" t="s">
        <v>1027</v>
      </c>
      <c r="C215" s="980">
        <v>0.67</v>
      </c>
      <c r="D215" s="979">
        <v>0.49</v>
      </c>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row>
    <row r="216" spans="1:30">
      <c r="A216" s="1331"/>
      <c r="B216" s="669" t="s">
        <v>1034</v>
      </c>
      <c r="C216" s="980">
        <v>0.41</v>
      </c>
      <c r="D216" s="979">
        <v>0.63</v>
      </c>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row>
    <row r="217" spans="1:30">
      <c r="A217" s="1330" t="s">
        <v>1202</v>
      </c>
      <c r="B217" s="664" t="s">
        <v>1043</v>
      </c>
      <c r="C217" s="980">
        <v>1.03</v>
      </c>
      <c r="D217" s="979">
        <v>1.07</v>
      </c>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row>
    <row r="218" spans="1:30">
      <c r="A218" s="1201"/>
      <c r="B218" s="664" t="s">
        <v>1027</v>
      </c>
      <c r="C218" s="980">
        <v>1.88</v>
      </c>
      <c r="D218" s="979">
        <v>1.1599999999999999</v>
      </c>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row>
    <row r="219" spans="1:30">
      <c r="A219" s="1331"/>
      <c r="B219" s="664" t="s">
        <v>1034</v>
      </c>
      <c r="C219" s="980">
        <v>0.35</v>
      </c>
      <c r="D219" s="979">
        <v>0.89</v>
      </c>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row>
    <row r="220" spans="1:30">
      <c r="A220" s="1330" t="s">
        <v>1203</v>
      </c>
      <c r="B220" s="664" t="s">
        <v>1199</v>
      </c>
      <c r="C220" s="980">
        <v>7.12</v>
      </c>
      <c r="D220" s="979">
        <v>0.5</v>
      </c>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row>
    <row r="221" spans="1:30">
      <c r="A221" s="1201"/>
      <c r="B221" s="664" t="s">
        <v>1200</v>
      </c>
      <c r="C221" s="980">
        <v>2.74</v>
      </c>
      <c r="D221" s="979">
        <v>1.54</v>
      </c>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row>
    <row r="222" spans="1:30">
      <c r="A222" s="1201"/>
      <c r="B222" s="664" t="s">
        <v>1027</v>
      </c>
      <c r="C222" s="980">
        <v>0.41</v>
      </c>
      <c r="D222" s="979">
        <v>0.6</v>
      </c>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row>
    <row r="223" spans="1:30">
      <c r="A223" s="1331"/>
      <c r="B223" s="664" t="s">
        <v>1034</v>
      </c>
      <c r="C223" s="980">
        <v>0.45</v>
      </c>
      <c r="D223" s="979">
        <v>0.64</v>
      </c>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row>
    <row r="224" spans="1:30">
      <c r="A224" s="1330" t="s">
        <v>1204</v>
      </c>
      <c r="B224" s="664" t="s">
        <v>1199</v>
      </c>
      <c r="C224" s="980">
        <v>9.68</v>
      </c>
      <c r="D224" s="982">
        <v>0</v>
      </c>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row>
    <row r="225" spans="1:30">
      <c r="A225" s="1201"/>
      <c r="B225" s="664" t="s">
        <v>1200</v>
      </c>
      <c r="C225" s="980">
        <v>3.24</v>
      </c>
      <c r="D225" s="979">
        <v>2.0499999999999998</v>
      </c>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row>
    <row r="226" spans="1:30">
      <c r="A226" s="1331"/>
      <c r="B226" s="664" t="s">
        <v>1027</v>
      </c>
      <c r="C226" s="980">
        <v>0.48</v>
      </c>
      <c r="D226" s="979">
        <v>1.27</v>
      </c>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row>
    <row r="227" spans="1:30">
      <c r="A227" s="1330" t="s">
        <v>1205</v>
      </c>
      <c r="B227" s="664" t="s">
        <v>1043</v>
      </c>
      <c r="C227" s="980">
        <v>3.24</v>
      </c>
      <c r="D227" s="979">
        <v>1.81</v>
      </c>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row>
    <row r="228" spans="1:30">
      <c r="A228" s="1201"/>
      <c r="B228" s="664" t="s">
        <v>1027</v>
      </c>
      <c r="C228" s="980">
        <v>0.38</v>
      </c>
      <c r="D228" s="979">
        <v>0.95</v>
      </c>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row>
    <row r="229" spans="1:30">
      <c r="A229" s="1331"/>
      <c r="B229" s="664" t="s">
        <v>1034</v>
      </c>
      <c r="C229" s="980">
        <v>1.99</v>
      </c>
      <c r="D229" s="979">
        <v>0.01</v>
      </c>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row>
    <row r="230" spans="1:30">
      <c r="A230" s="1330" t="s">
        <v>1206</v>
      </c>
      <c r="B230" s="664" t="s">
        <v>1199</v>
      </c>
      <c r="C230" s="980">
        <v>17.61</v>
      </c>
      <c r="D230" s="979">
        <v>0.11</v>
      </c>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row>
    <row r="231" spans="1:30">
      <c r="A231" s="1201"/>
      <c r="B231" s="664" t="s">
        <v>1200</v>
      </c>
      <c r="C231" s="980">
        <v>2.87</v>
      </c>
      <c r="D231" s="979">
        <v>1.5</v>
      </c>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row>
    <row r="232" spans="1:30">
      <c r="A232" s="1201"/>
      <c r="B232" s="664" t="s">
        <v>1027</v>
      </c>
      <c r="C232" s="980">
        <v>0.73</v>
      </c>
      <c r="D232" s="979">
        <v>0.66</v>
      </c>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row>
    <row r="233" spans="1:30" ht="13.5" thickBot="1">
      <c r="A233" s="1202"/>
      <c r="B233" s="670" t="s">
        <v>1034</v>
      </c>
      <c r="C233" s="983">
        <v>0.43</v>
      </c>
      <c r="D233" s="984">
        <v>0.6</v>
      </c>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row>
    <row r="234" spans="1:30" ht="15.75" customHeight="1">
      <c r="A234" s="183"/>
      <c r="B234" s="162"/>
      <c r="C234" s="162"/>
      <c r="D234" s="162"/>
      <c r="E234" s="162"/>
      <c r="F234" s="162"/>
      <c r="G234" s="162"/>
      <c r="H234" s="162"/>
      <c r="I234" s="162"/>
      <c r="J234" s="226"/>
      <c r="K234" s="162"/>
      <c r="L234" s="162"/>
      <c r="M234" s="162"/>
      <c r="N234" s="162"/>
      <c r="O234" s="162"/>
      <c r="P234" s="162"/>
      <c r="Q234" s="162"/>
      <c r="R234" s="162"/>
      <c r="S234" s="162"/>
      <c r="T234" s="162"/>
      <c r="U234" s="162"/>
      <c r="V234" s="162"/>
      <c r="W234" s="162"/>
      <c r="X234" s="162"/>
      <c r="Y234" s="162"/>
      <c r="Z234" s="162"/>
      <c r="AA234" s="162"/>
      <c r="AB234" s="162"/>
      <c r="AC234" s="162"/>
      <c r="AD234" s="162"/>
    </row>
    <row r="235" spans="1:30" ht="15.75" customHeight="1" thickBot="1">
      <c r="A235" s="267" t="s">
        <v>308</v>
      </c>
      <c r="B235" s="268"/>
      <c r="C235" s="268"/>
      <c r="D235" s="268"/>
      <c r="E235" s="268"/>
      <c r="F235" s="268"/>
      <c r="G235" s="268"/>
      <c r="H235" s="268"/>
      <c r="I235" s="162"/>
      <c r="J235" s="226"/>
      <c r="K235" s="162"/>
      <c r="L235" s="162"/>
      <c r="M235" s="162"/>
      <c r="N235" s="162"/>
      <c r="O235" s="162"/>
      <c r="P235" s="162"/>
      <c r="Q235" s="162"/>
      <c r="R235" s="162"/>
      <c r="S235" s="162"/>
      <c r="T235" s="162"/>
      <c r="U235" s="162"/>
      <c r="V235" s="162"/>
      <c r="W235" s="162"/>
      <c r="X235" s="162"/>
      <c r="Y235" s="162"/>
      <c r="Z235" s="162"/>
      <c r="AA235" s="162"/>
      <c r="AB235" s="162"/>
      <c r="AC235" s="162"/>
      <c r="AD235" s="162"/>
    </row>
    <row r="236" spans="1:30" ht="15.75" customHeight="1" thickBot="1">
      <c r="A236" s="209" t="s">
        <v>28</v>
      </c>
      <c r="B236" s="210" t="s">
        <v>128</v>
      </c>
      <c r="C236" s="162"/>
      <c r="D236" s="162"/>
      <c r="E236" s="162"/>
      <c r="F236" s="162"/>
      <c r="G236" s="162"/>
      <c r="H236" s="162"/>
      <c r="I236" s="162"/>
      <c r="J236" s="226"/>
      <c r="K236" s="162"/>
      <c r="L236" s="162"/>
      <c r="M236" s="162"/>
      <c r="N236" s="162"/>
      <c r="O236" s="162"/>
      <c r="P236" s="162"/>
      <c r="Q236" s="162"/>
      <c r="R236" s="162"/>
      <c r="S236" s="162"/>
      <c r="T236" s="162"/>
      <c r="U236" s="162"/>
      <c r="V236" s="162"/>
      <c r="W236" s="162"/>
      <c r="X236" s="162"/>
      <c r="Y236" s="162"/>
      <c r="Z236" s="162"/>
      <c r="AA236" s="162"/>
      <c r="AB236" s="162"/>
      <c r="AC236" s="162"/>
      <c r="AD236" s="162"/>
    </row>
    <row r="237" spans="1:30" ht="15.75" customHeight="1">
      <c r="A237" s="656" t="s">
        <v>182</v>
      </c>
      <c r="B237" s="879">
        <v>1</v>
      </c>
      <c r="C237" s="774"/>
      <c r="D237" s="162"/>
      <c r="E237" s="162"/>
      <c r="F237" s="162"/>
      <c r="G237" s="162"/>
      <c r="H237" s="162"/>
      <c r="I237" s="162"/>
      <c r="J237" s="226"/>
      <c r="K237" s="162"/>
      <c r="L237" s="162"/>
      <c r="M237" s="162"/>
      <c r="N237" s="162"/>
      <c r="O237" s="162"/>
      <c r="P237" s="162"/>
      <c r="Q237" s="162"/>
      <c r="R237" s="162"/>
      <c r="S237" s="162"/>
      <c r="T237" s="162"/>
      <c r="U237" s="162"/>
      <c r="V237" s="162"/>
      <c r="W237" s="162"/>
      <c r="X237" s="162"/>
      <c r="Y237" s="162"/>
      <c r="Z237" s="162"/>
      <c r="AA237" s="162"/>
      <c r="AB237" s="162"/>
      <c r="AC237" s="162"/>
      <c r="AD237" s="162"/>
    </row>
    <row r="238" spans="1:30" ht="15.75" customHeight="1">
      <c r="A238" s="650" t="s">
        <v>224</v>
      </c>
      <c r="B238" s="880">
        <v>25</v>
      </c>
      <c r="C238" s="774"/>
      <c r="D238" s="162"/>
      <c r="E238" s="162"/>
      <c r="F238" s="162"/>
      <c r="G238" s="162"/>
      <c r="H238" s="162"/>
      <c r="I238" s="162"/>
      <c r="J238" s="226"/>
      <c r="K238" s="162"/>
      <c r="L238" s="162"/>
      <c r="M238" s="162"/>
      <c r="N238" s="162"/>
      <c r="O238" s="162"/>
      <c r="P238" s="162"/>
      <c r="Q238" s="162"/>
      <c r="R238" s="162"/>
      <c r="S238" s="162"/>
      <c r="T238" s="162"/>
      <c r="U238" s="162"/>
      <c r="V238" s="162"/>
      <c r="W238" s="162"/>
      <c r="X238" s="162"/>
      <c r="Y238" s="162"/>
      <c r="Z238" s="162"/>
      <c r="AA238" s="162"/>
      <c r="AB238" s="162"/>
      <c r="AC238" s="162"/>
      <c r="AD238" s="162"/>
    </row>
    <row r="239" spans="1:30" ht="15.75" customHeight="1">
      <c r="A239" s="650" t="s">
        <v>309</v>
      </c>
      <c r="B239" s="880">
        <v>298</v>
      </c>
      <c r="C239" s="774"/>
      <c r="D239" s="162"/>
      <c r="E239" s="162"/>
      <c r="F239" s="162"/>
      <c r="G239" s="162"/>
      <c r="H239" s="162"/>
      <c r="I239" s="162"/>
      <c r="J239" s="226"/>
      <c r="K239" s="162"/>
      <c r="L239" s="162"/>
      <c r="M239" s="162"/>
      <c r="N239" s="162"/>
      <c r="O239" s="162"/>
      <c r="P239" s="162"/>
      <c r="Q239" s="162"/>
      <c r="R239" s="162"/>
      <c r="S239" s="162"/>
      <c r="T239" s="162"/>
      <c r="U239" s="162"/>
      <c r="V239" s="162"/>
      <c r="W239" s="162"/>
      <c r="X239" s="162"/>
      <c r="Y239" s="162"/>
      <c r="Z239" s="162"/>
      <c r="AA239" s="162"/>
      <c r="AB239" s="162"/>
      <c r="AC239" s="162"/>
      <c r="AD239" s="162"/>
    </row>
    <row r="240" spans="1:30" ht="15.75" customHeight="1">
      <c r="A240" s="650" t="s">
        <v>120</v>
      </c>
      <c r="B240" s="880">
        <v>14800</v>
      </c>
      <c r="C240" s="774"/>
      <c r="D240" s="162"/>
      <c r="E240" s="162"/>
      <c r="F240" s="162"/>
      <c r="G240" s="162"/>
      <c r="H240" s="162"/>
      <c r="I240" s="162"/>
      <c r="J240" s="226"/>
      <c r="K240" s="162"/>
      <c r="L240" s="162"/>
      <c r="M240" s="162"/>
      <c r="N240" s="162"/>
      <c r="O240" s="162"/>
      <c r="P240" s="162"/>
      <c r="Q240" s="162"/>
      <c r="R240" s="162"/>
      <c r="S240" s="162"/>
      <c r="T240" s="162"/>
      <c r="U240" s="162"/>
      <c r="V240" s="162"/>
      <c r="W240" s="162"/>
      <c r="X240" s="162"/>
      <c r="Y240" s="162"/>
      <c r="Z240" s="162"/>
      <c r="AA240" s="162"/>
      <c r="AB240" s="162"/>
      <c r="AC240" s="162"/>
      <c r="AD240" s="162"/>
    </row>
    <row r="241" spans="1:256" ht="15.75" customHeight="1">
      <c r="A241" s="650" t="s">
        <v>121</v>
      </c>
      <c r="B241" s="880">
        <v>675</v>
      </c>
      <c r="C241" s="774"/>
      <c r="D241" s="162"/>
      <c r="E241" s="162"/>
      <c r="F241" s="162"/>
      <c r="G241" s="162"/>
      <c r="H241" s="162"/>
      <c r="I241" s="162"/>
      <c r="J241" s="226"/>
      <c r="K241" s="162"/>
      <c r="L241" s="162"/>
      <c r="M241" s="162"/>
      <c r="N241" s="162"/>
      <c r="O241" s="162"/>
      <c r="P241" s="162"/>
      <c r="Q241" s="162"/>
      <c r="R241" s="162"/>
      <c r="S241" s="162"/>
      <c r="T241" s="162"/>
      <c r="U241" s="162"/>
      <c r="V241" s="162"/>
      <c r="W241" s="162"/>
      <c r="X241" s="162"/>
      <c r="Y241" s="162"/>
      <c r="Z241" s="162"/>
      <c r="AA241" s="162"/>
      <c r="AB241" s="162"/>
      <c r="AC241" s="162"/>
      <c r="AD241" s="162"/>
    </row>
    <row r="242" spans="1:256" ht="15.75" customHeight="1">
      <c r="A242" s="650" t="s">
        <v>746</v>
      </c>
      <c r="B242" s="880">
        <v>92</v>
      </c>
      <c r="C242" s="774"/>
      <c r="D242" s="162"/>
      <c r="E242" s="162"/>
      <c r="F242" s="162"/>
      <c r="G242" s="162"/>
      <c r="H242" s="162"/>
      <c r="I242" s="162"/>
      <c r="J242" s="226"/>
      <c r="K242" s="162"/>
      <c r="L242" s="162"/>
      <c r="M242" s="162"/>
      <c r="N242" s="162"/>
      <c r="O242" s="162"/>
      <c r="P242" s="162"/>
      <c r="Q242" s="162"/>
      <c r="R242" s="162"/>
      <c r="S242" s="162"/>
      <c r="T242" s="162"/>
      <c r="U242" s="162"/>
      <c r="V242" s="162"/>
      <c r="W242" s="162"/>
      <c r="X242" s="162"/>
      <c r="Y242" s="162"/>
      <c r="Z242" s="162"/>
      <c r="AA242" s="162"/>
      <c r="AB242" s="162"/>
      <c r="AC242" s="162"/>
      <c r="AD242" s="162"/>
    </row>
    <row r="243" spans="1:256" ht="15.75" customHeight="1">
      <c r="A243" s="650" t="s">
        <v>122</v>
      </c>
      <c r="B243" s="880">
        <v>3500</v>
      </c>
      <c r="C243" s="774"/>
      <c r="D243" s="162"/>
      <c r="E243" s="162"/>
      <c r="F243" s="162"/>
      <c r="G243" s="162"/>
      <c r="H243" s="162"/>
      <c r="I243" s="162"/>
      <c r="J243" s="226"/>
      <c r="K243" s="162"/>
      <c r="L243" s="162"/>
      <c r="M243" s="162"/>
      <c r="N243" s="162"/>
      <c r="O243" s="162"/>
      <c r="P243" s="162"/>
      <c r="Q243" s="162"/>
      <c r="R243" s="162"/>
      <c r="S243" s="162"/>
      <c r="T243" s="162"/>
      <c r="U243" s="162"/>
      <c r="V243" s="162"/>
      <c r="W243" s="162"/>
      <c r="X243" s="162"/>
      <c r="Y243" s="162"/>
      <c r="Z243" s="162"/>
      <c r="AA243" s="162"/>
      <c r="AB243" s="162"/>
      <c r="AC243" s="162"/>
      <c r="AD243" s="162"/>
    </row>
    <row r="244" spans="1:256" ht="15.75" customHeight="1">
      <c r="A244" s="650" t="s">
        <v>747</v>
      </c>
      <c r="B244" s="880">
        <v>1100</v>
      </c>
      <c r="C244" s="774"/>
      <c r="D244" s="162"/>
      <c r="E244" s="162"/>
      <c r="F244" s="162"/>
      <c r="G244" s="162"/>
      <c r="H244" s="162"/>
      <c r="I244" s="162"/>
      <c r="J244" s="226"/>
      <c r="K244" s="162"/>
      <c r="L244" s="162"/>
      <c r="M244" s="162"/>
      <c r="N244" s="162"/>
      <c r="O244" s="162"/>
      <c r="P244" s="162"/>
      <c r="Q244" s="162"/>
      <c r="R244" s="162"/>
      <c r="S244" s="162"/>
      <c r="T244" s="162"/>
      <c r="U244" s="162"/>
      <c r="V244" s="162"/>
      <c r="W244" s="162"/>
      <c r="X244" s="162"/>
      <c r="Y244" s="162"/>
      <c r="Z244" s="162"/>
      <c r="AA244" s="162"/>
      <c r="AB244" s="162"/>
      <c r="AC244" s="162"/>
      <c r="AD244" s="162"/>
      <c r="IV244" s="556">
        <f>SUM(B244:IU244)</f>
        <v>1100</v>
      </c>
    </row>
    <row r="245" spans="1:256" ht="15.75" customHeight="1">
      <c r="A245" s="650" t="s">
        <v>123</v>
      </c>
      <c r="B245" s="880">
        <v>1430</v>
      </c>
      <c r="C245" s="774"/>
      <c r="D245" s="162"/>
      <c r="E245" s="162"/>
      <c r="F245" s="162"/>
      <c r="G245" s="162"/>
      <c r="H245" s="162"/>
      <c r="I245" s="162"/>
      <c r="J245" s="226"/>
      <c r="K245" s="162"/>
      <c r="L245" s="162"/>
      <c r="M245" s="162"/>
      <c r="N245" s="162"/>
      <c r="O245" s="162"/>
      <c r="P245" s="162"/>
      <c r="Q245" s="162"/>
      <c r="R245" s="162"/>
      <c r="S245" s="162"/>
      <c r="T245" s="162"/>
      <c r="U245" s="162"/>
      <c r="V245" s="162"/>
      <c r="W245" s="162"/>
      <c r="X245" s="162"/>
      <c r="Y245" s="162"/>
      <c r="Z245" s="162"/>
      <c r="AA245" s="162"/>
      <c r="AB245" s="162"/>
      <c r="AC245" s="162"/>
      <c r="AD245" s="162"/>
      <c r="IV245" s="556"/>
    </row>
    <row r="246" spans="1:256" ht="15.75" customHeight="1">
      <c r="A246" s="650" t="s">
        <v>748</v>
      </c>
      <c r="B246" s="880">
        <v>353</v>
      </c>
      <c r="C246" s="774"/>
      <c r="D246" s="162"/>
      <c r="E246" s="162"/>
      <c r="F246" s="162"/>
      <c r="G246" s="162"/>
      <c r="H246" s="162"/>
      <c r="I246" s="162"/>
      <c r="J246" s="226"/>
      <c r="K246" s="162"/>
      <c r="L246" s="162"/>
      <c r="M246" s="162"/>
      <c r="N246" s="162"/>
      <c r="O246" s="162"/>
      <c r="P246" s="162"/>
      <c r="Q246" s="162"/>
      <c r="R246" s="162"/>
      <c r="S246" s="162"/>
      <c r="T246" s="162"/>
      <c r="U246" s="162"/>
      <c r="V246" s="162"/>
      <c r="W246" s="162"/>
      <c r="X246" s="162"/>
      <c r="Y246" s="162"/>
      <c r="Z246" s="162"/>
      <c r="AA246" s="162"/>
      <c r="AB246" s="162"/>
      <c r="AC246" s="162"/>
      <c r="AD246" s="162"/>
    </row>
    <row r="247" spans="1:256" ht="15.75" customHeight="1">
      <c r="A247" s="640" t="s">
        <v>124</v>
      </c>
      <c r="B247" s="880">
        <v>4470</v>
      </c>
      <c r="C247" s="774"/>
      <c r="D247" s="162"/>
      <c r="E247" s="162"/>
      <c r="F247" s="162"/>
      <c r="G247" s="162"/>
      <c r="H247" s="162"/>
      <c r="I247" s="162"/>
      <c r="J247" s="226"/>
      <c r="K247" s="162"/>
      <c r="L247" s="162"/>
      <c r="M247" s="162"/>
      <c r="N247" s="162"/>
      <c r="O247" s="162"/>
      <c r="P247" s="162"/>
      <c r="Q247" s="162"/>
      <c r="R247" s="162"/>
      <c r="S247" s="162"/>
      <c r="T247" s="162"/>
      <c r="U247" s="162"/>
      <c r="V247" s="162"/>
      <c r="W247" s="162"/>
      <c r="X247" s="162"/>
      <c r="Y247" s="162"/>
      <c r="Z247" s="162"/>
      <c r="AA247" s="162"/>
      <c r="AB247" s="162"/>
      <c r="AC247" s="162"/>
      <c r="AD247" s="162"/>
    </row>
    <row r="248" spans="1:256" ht="15.75" customHeight="1">
      <c r="A248" s="650" t="s">
        <v>749</v>
      </c>
      <c r="B248" s="880">
        <v>53</v>
      </c>
      <c r="C248" s="774"/>
      <c r="D248" s="162"/>
      <c r="E248" s="162"/>
      <c r="F248" s="162"/>
      <c r="G248" s="162"/>
      <c r="H248" s="162"/>
      <c r="I248" s="162"/>
      <c r="J248" s="226"/>
      <c r="K248" s="162"/>
      <c r="L248" s="162"/>
      <c r="M248" s="162"/>
      <c r="N248" s="162"/>
      <c r="O248" s="162"/>
      <c r="P248" s="162"/>
      <c r="Q248" s="162"/>
      <c r="R248" s="162"/>
      <c r="S248" s="162"/>
      <c r="T248" s="162"/>
      <c r="U248" s="162"/>
      <c r="V248" s="162"/>
      <c r="W248" s="162"/>
      <c r="X248" s="162"/>
      <c r="Y248" s="162"/>
      <c r="Z248" s="162"/>
      <c r="AA248" s="162"/>
      <c r="AB248" s="162"/>
      <c r="AC248" s="162"/>
      <c r="AD248" s="162"/>
    </row>
    <row r="249" spans="1:256" ht="15.75" customHeight="1">
      <c r="A249" s="650" t="s">
        <v>125</v>
      </c>
      <c r="B249" s="880">
        <v>124</v>
      </c>
      <c r="C249" s="774"/>
      <c r="D249" s="162"/>
      <c r="E249" s="162"/>
      <c r="F249" s="162"/>
      <c r="G249" s="162"/>
      <c r="H249" s="162"/>
      <c r="I249" s="162"/>
      <c r="J249" s="226"/>
      <c r="K249" s="162"/>
      <c r="L249" s="162"/>
      <c r="M249" s="162"/>
      <c r="N249" s="162"/>
      <c r="O249" s="162"/>
      <c r="P249" s="162"/>
      <c r="Q249" s="162"/>
      <c r="R249" s="162"/>
      <c r="S249" s="162"/>
      <c r="T249" s="162"/>
      <c r="U249" s="162"/>
      <c r="V249" s="162"/>
      <c r="W249" s="162"/>
      <c r="X249" s="162"/>
      <c r="Y249" s="162"/>
      <c r="Z249" s="162"/>
      <c r="AA249" s="162"/>
      <c r="AB249" s="162"/>
      <c r="AC249" s="162"/>
      <c r="AD249" s="162"/>
    </row>
    <row r="250" spans="1:256" ht="15.75" customHeight="1">
      <c r="A250" s="650" t="s">
        <v>750</v>
      </c>
      <c r="B250" s="880">
        <v>12</v>
      </c>
      <c r="C250" s="774"/>
      <c r="D250" s="162"/>
      <c r="E250" s="162"/>
      <c r="F250" s="162"/>
      <c r="G250" s="162"/>
      <c r="H250" s="162"/>
      <c r="I250" s="162"/>
      <c r="J250" s="226"/>
      <c r="K250" s="162"/>
      <c r="L250" s="162"/>
      <c r="M250" s="162"/>
      <c r="N250" s="162"/>
      <c r="O250" s="162"/>
      <c r="P250" s="162"/>
      <c r="Q250" s="162"/>
      <c r="R250" s="162"/>
      <c r="S250" s="162"/>
      <c r="T250" s="162"/>
      <c r="U250" s="162"/>
      <c r="V250" s="162"/>
      <c r="W250" s="162"/>
      <c r="X250" s="162"/>
      <c r="Y250" s="162"/>
      <c r="Z250" s="162"/>
      <c r="AA250" s="162"/>
      <c r="AB250" s="162"/>
      <c r="AC250" s="162"/>
      <c r="AD250" s="162"/>
    </row>
    <row r="251" spans="1:256" ht="15.75" customHeight="1">
      <c r="A251" s="650" t="s">
        <v>126</v>
      </c>
      <c r="B251" s="880">
        <v>3220</v>
      </c>
      <c r="C251" s="774"/>
      <c r="D251" s="162"/>
      <c r="E251" s="162"/>
      <c r="F251" s="162"/>
      <c r="G251" s="162"/>
      <c r="H251" s="162"/>
      <c r="I251" s="162"/>
      <c r="J251" s="226"/>
      <c r="K251" s="162"/>
      <c r="L251" s="162"/>
      <c r="M251" s="162"/>
      <c r="N251" s="162"/>
      <c r="O251" s="162"/>
      <c r="P251" s="162"/>
      <c r="Q251" s="162"/>
      <c r="R251" s="162"/>
      <c r="S251" s="162"/>
      <c r="T251" s="162"/>
      <c r="U251" s="162"/>
      <c r="V251" s="162"/>
      <c r="W251" s="162"/>
      <c r="X251" s="162"/>
      <c r="Y251" s="162"/>
      <c r="Z251" s="162"/>
      <c r="AA251" s="162"/>
      <c r="AB251" s="162"/>
      <c r="AC251" s="162"/>
      <c r="AD251" s="162"/>
    </row>
    <row r="252" spans="1:256" ht="15.75" customHeight="1">
      <c r="A252" s="650" t="s">
        <v>751</v>
      </c>
      <c r="B252" s="880">
        <v>1340</v>
      </c>
      <c r="C252" s="774"/>
      <c r="D252" s="162"/>
      <c r="E252" s="162"/>
      <c r="F252" s="162"/>
      <c r="G252" s="162"/>
      <c r="H252" s="162"/>
      <c r="I252" s="162"/>
      <c r="J252" s="226"/>
      <c r="K252" s="162"/>
      <c r="L252" s="162"/>
      <c r="M252" s="162"/>
      <c r="N252" s="162"/>
      <c r="O252" s="162"/>
      <c r="P252" s="162"/>
      <c r="Q252" s="162"/>
      <c r="R252" s="162"/>
      <c r="S252" s="162"/>
      <c r="T252" s="162"/>
      <c r="U252" s="162"/>
      <c r="V252" s="162"/>
      <c r="W252" s="162"/>
      <c r="X252" s="162"/>
      <c r="Y252" s="162"/>
      <c r="Z252" s="162"/>
      <c r="AA252" s="162"/>
      <c r="AB252" s="162"/>
      <c r="AC252" s="162"/>
      <c r="AD252" s="162"/>
    </row>
    <row r="253" spans="1:256" ht="15.75" customHeight="1">
      <c r="A253" s="650" t="s">
        <v>752</v>
      </c>
      <c r="B253" s="880">
        <v>1370</v>
      </c>
      <c r="C253" s="774"/>
      <c r="D253" s="162"/>
      <c r="E253" s="162"/>
      <c r="F253" s="162"/>
      <c r="G253" s="162"/>
      <c r="H253" s="162"/>
      <c r="I253" s="162"/>
      <c r="J253" s="226"/>
      <c r="K253" s="162"/>
      <c r="L253" s="162"/>
      <c r="M253" s="162"/>
      <c r="N253" s="162"/>
      <c r="O253" s="162"/>
      <c r="P253" s="162"/>
      <c r="Q253" s="162"/>
      <c r="R253" s="162"/>
      <c r="S253" s="162"/>
      <c r="T253" s="162"/>
      <c r="U253" s="162"/>
      <c r="V253" s="162"/>
      <c r="W253" s="162"/>
      <c r="X253" s="162"/>
      <c r="Y253" s="162"/>
      <c r="Z253" s="162"/>
      <c r="AA253" s="162"/>
      <c r="AB253" s="162"/>
      <c r="AC253" s="162"/>
      <c r="AD253" s="162"/>
    </row>
    <row r="254" spans="1:256" ht="15.75" customHeight="1">
      <c r="A254" s="650" t="s">
        <v>127</v>
      </c>
      <c r="B254" s="880">
        <v>9810</v>
      </c>
      <c r="C254" s="774"/>
      <c r="D254" s="162"/>
      <c r="E254" s="162"/>
      <c r="F254" s="162"/>
      <c r="G254" s="162"/>
      <c r="H254" s="162"/>
      <c r="I254" s="162"/>
      <c r="J254" s="226"/>
      <c r="K254" s="162"/>
      <c r="L254" s="162"/>
      <c r="M254" s="162"/>
      <c r="N254" s="162"/>
      <c r="O254" s="162"/>
      <c r="P254" s="162"/>
      <c r="Q254" s="162"/>
      <c r="R254" s="162"/>
      <c r="S254" s="162"/>
      <c r="T254" s="162"/>
      <c r="U254" s="162"/>
      <c r="V254" s="162"/>
      <c r="W254" s="162"/>
      <c r="X254" s="162"/>
      <c r="Y254" s="162"/>
      <c r="Z254" s="162"/>
      <c r="AA254" s="162"/>
      <c r="AB254" s="162"/>
      <c r="AC254" s="162"/>
      <c r="AD254" s="162"/>
    </row>
    <row r="255" spans="1:256" ht="15.75" customHeight="1">
      <c r="A255" s="640" t="s">
        <v>753</v>
      </c>
      <c r="B255" s="880">
        <v>693</v>
      </c>
      <c r="C255" s="774"/>
      <c r="D255" s="162"/>
      <c r="E255" s="162"/>
      <c r="F255" s="162"/>
      <c r="G255" s="162"/>
      <c r="H255" s="162"/>
      <c r="I255" s="162"/>
      <c r="J255" s="226"/>
      <c r="K255" s="162"/>
      <c r="L255" s="162"/>
      <c r="M255" s="162"/>
      <c r="N255" s="162"/>
      <c r="O255" s="162"/>
      <c r="P255" s="162"/>
      <c r="Q255" s="162"/>
      <c r="R255" s="162"/>
      <c r="S255" s="162"/>
      <c r="T255" s="162"/>
      <c r="U255" s="162"/>
      <c r="V255" s="162"/>
      <c r="W255" s="162"/>
      <c r="X255" s="162"/>
      <c r="Y255" s="162"/>
      <c r="Z255" s="162"/>
      <c r="AA255" s="162"/>
      <c r="AB255" s="162"/>
      <c r="AC255" s="162"/>
      <c r="AD255" s="162"/>
    </row>
    <row r="256" spans="1:256" ht="15.75" customHeight="1">
      <c r="A256" s="650" t="s">
        <v>754</v>
      </c>
      <c r="B256" s="880">
        <v>1030</v>
      </c>
      <c r="C256" s="774"/>
      <c r="D256" s="162"/>
      <c r="E256" s="162"/>
      <c r="F256" s="162"/>
      <c r="G256" s="162"/>
      <c r="H256" s="162"/>
      <c r="I256" s="162"/>
      <c r="J256" s="226"/>
      <c r="K256" s="162"/>
      <c r="L256" s="162"/>
      <c r="M256" s="162"/>
      <c r="N256" s="162"/>
      <c r="O256" s="162"/>
      <c r="P256" s="162"/>
      <c r="Q256" s="162"/>
      <c r="R256" s="162"/>
      <c r="S256" s="162"/>
      <c r="T256" s="162"/>
      <c r="U256" s="162"/>
      <c r="V256" s="162"/>
      <c r="W256" s="162"/>
      <c r="X256" s="162"/>
      <c r="Y256" s="162"/>
      <c r="Z256" s="162"/>
      <c r="AA256" s="162"/>
      <c r="AB256" s="162"/>
      <c r="AC256" s="162"/>
      <c r="AD256" s="162"/>
    </row>
    <row r="257" spans="1:30" ht="15.75" customHeight="1">
      <c r="A257" s="650" t="s">
        <v>755</v>
      </c>
      <c r="B257" s="880">
        <v>794</v>
      </c>
      <c r="C257" s="774"/>
      <c r="D257" s="162"/>
      <c r="E257" s="162"/>
      <c r="F257" s="162"/>
      <c r="G257" s="162"/>
      <c r="H257" s="162"/>
      <c r="I257" s="162"/>
      <c r="J257" s="226"/>
      <c r="K257" s="162"/>
      <c r="L257" s="162"/>
      <c r="M257" s="162"/>
      <c r="N257" s="162"/>
      <c r="O257" s="162"/>
      <c r="P257" s="162"/>
      <c r="Q257" s="162"/>
      <c r="R257" s="162"/>
      <c r="S257" s="162"/>
      <c r="T257" s="162"/>
      <c r="U257" s="162"/>
      <c r="V257" s="162"/>
      <c r="W257" s="162"/>
      <c r="X257" s="162"/>
      <c r="Y257" s="162"/>
      <c r="Z257" s="162"/>
      <c r="AA257" s="162"/>
      <c r="AB257" s="162"/>
      <c r="AC257" s="162"/>
      <c r="AD257" s="162"/>
    </row>
    <row r="258" spans="1:30" ht="15.75" customHeight="1">
      <c r="A258" s="640" t="s">
        <v>756</v>
      </c>
      <c r="B258" s="880">
        <v>1640</v>
      </c>
      <c r="C258" s="774"/>
      <c r="D258" s="162"/>
      <c r="E258" s="162"/>
      <c r="F258" s="162"/>
      <c r="G258" s="162"/>
      <c r="H258" s="162"/>
      <c r="I258" s="162"/>
      <c r="J258" s="226"/>
      <c r="K258" s="162"/>
      <c r="L258" s="162"/>
      <c r="M258" s="162"/>
      <c r="N258" s="162"/>
      <c r="O258" s="162"/>
      <c r="P258" s="162"/>
      <c r="Q258" s="162"/>
      <c r="R258" s="162"/>
      <c r="S258" s="162"/>
      <c r="T258" s="162"/>
      <c r="U258" s="162"/>
      <c r="V258" s="162"/>
      <c r="W258" s="162"/>
      <c r="X258" s="162"/>
      <c r="Y258" s="162"/>
      <c r="Z258" s="162"/>
      <c r="AA258" s="162"/>
      <c r="AB258" s="162"/>
      <c r="AC258" s="162"/>
      <c r="AD258" s="162"/>
    </row>
    <row r="259" spans="1:30" ht="15.75" customHeight="1">
      <c r="A259" s="650" t="s">
        <v>110</v>
      </c>
      <c r="B259" s="880">
        <v>22800</v>
      </c>
      <c r="C259" s="774"/>
      <c r="D259" s="162"/>
      <c r="E259" s="162"/>
      <c r="F259" s="162"/>
      <c r="G259" s="162"/>
      <c r="H259" s="162"/>
      <c r="I259" s="162"/>
      <c r="J259" s="226"/>
      <c r="K259" s="162"/>
      <c r="L259" s="162"/>
      <c r="M259" s="162"/>
      <c r="N259" s="162"/>
      <c r="O259" s="162"/>
      <c r="P259" s="162"/>
      <c r="Q259" s="162"/>
      <c r="R259" s="162"/>
      <c r="S259" s="162"/>
      <c r="T259" s="162"/>
      <c r="U259" s="162"/>
      <c r="V259" s="162"/>
      <c r="W259" s="162"/>
      <c r="X259" s="162"/>
      <c r="Y259" s="162"/>
      <c r="Z259" s="162"/>
      <c r="AA259" s="162"/>
      <c r="AB259" s="162"/>
      <c r="AC259" s="162"/>
      <c r="AD259" s="162"/>
    </row>
    <row r="260" spans="1:30" ht="15.75" customHeight="1">
      <c r="A260" s="650" t="s">
        <v>671</v>
      </c>
      <c r="B260" s="880">
        <v>17200</v>
      </c>
      <c r="C260" s="774"/>
      <c r="D260" s="162"/>
      <c r="E260" s="162"/>
      <c r="F260" s="162"/>
      <c r="G260" s="162"/>
      <c r="H260" s="162"/>
      <c r="I260" s="162"/>
      <c r="J260" s="226"/>
      <c r="K260" s="162"/>
      <c r="L260" s="162"/>
      <c r="M260" s="162"/>
      <c r="N260" s="162"/>
      <c r="O260" s="162"/>
      <c r="P260" s="162"/>
      <c r="Q260" s="162"/>
      <c r="R260" s="162"/>
      <c r="S260" s="162"/>
      <c r="T260" s="162"/>
      <c r="U260" s="162"/>
      <c r="V260" s="162"/>
      <c r="W260" s="162"/>
      <c r="X260" s="162"/>
      <c r="Y260" s="162"/>
      <c r="Z260" s="162"/>
      <c r="AA260" s="162"/>
      <c r="AB260" s="162"/>
      <c r="AC260" s="162"/>
      <c r="AD260" s="162"/>
    </row>
    <row r="261" spans="1:30" ht="15.75" customHeight="1">
      <c r="A261" s="650" t="s">
        <v>942</v>
      </c>
      <c r="B261" s="880">
        <v>7390</v>
      </c>
      <c r="C261" s="774"/>
      <c r="D261" s="162"/>
      <c r="E261" s="162"/>
      <c r="F261" s="162"/>
      <c r="G261" s="162"/>
      <c r="H261" s="162"/>
      <c r="I261" s="162"/>
      <c r="J261" s="226"/>
      <c r="K261" s="162"/>
      <c r="L261" s="162"/>
      <c r="M261" s="162"/>
      <c r="N261" s="162"/>
      <c r="O261" s="162"/>
      <c r="P261" s="162"/>
      <c r="Q261" s="162"/>
      <c r="R261" s="162"/>
      <c r="S261" s="162"/>
      <c r="T261" s="162"/>
      <c r="U261" s="162"/>
      <c r="V261" s="162"/>
      <c r="W261" s="162"/>
      <c r="X261" s="162"/>
      <c r="Y261" s="162"/>
      <c r="Z261" s="162"/>
      <c r="AA261" s="162"/>
      <c r="AB261" s="162"/>
      <c r="AC261" s="162"/>
      <c r="AD261" s="162"/>
    </row>
    <row r="262" spans="1:30" ht="15.75" customHeight="1">
      <c r="A262" s="640" t="s">
        <v>109</v>
      </c>
      <c r="B262" s="880">
        <v>12200</v>
      </c>
      <c r="C262" s="774"/>
      <c r="D262" s="162"/>
      <c r="E262" s="162"/>
      <c r="F262" s="162"/>
      <c r="G262" s="162"/>
      <c r="H262" s="162"/>
      <c r="I262" s="162"/>
      <c r="J262" s="226"/>
      <c r="K262" s="162"/>
      <c r="L262" s="162"/>
      <c r="M262" s="162"/>
      <c r="N262" s="162"/>
      <c r="O262" s="162"/>
      <c r="P262" s="162"/>
      <c r="Q262" s="162"/>
      <c r="R262" s="162"/>
      <c r="S262" s="162"/>
      <c r="T262" s="162"/>
      <c r="U262" s="162"/>
      <c r="V262" s="162"/>
      <c r="W262" s="162"/>
      <c r="X262" s="162"/>
      <c r="Y262" s="162"/>
      <c r="Z262" s="162"/>
      <c r="AA262" s="162"/>
      <c r="AB262" s="162"/>
      <c r="AC262" s="162"/>
      <c r="AD262" s="162"/>
    </row>
    <row r="263" spans="1:30" ht="15.75" customHeight="1">
      <c r="A263" s="640" t="s">
        <v>548</v>
      </c>
      <c r="B263" s="880">
        <v>8830</v>
      </c>
      <c r="C263" s="774"/>
      <c r="D263" s="162"/>
      <c r="E263" s="162"/>
      <c r="F263" s="162"/>
      <c r="G263" s="162"/>
      <c r="H263" s="162"/>
      <c r="I263" s="162"/>
      <c r="J263" s="226"/>
      <c r="K263" s="162"/>
      <c r="L263" s="162"/>
      <c r="M263" s="162"/>
      <c r="N263" s="162"/>
      <c r="O263" s="162"/>
      <c r="P263" s="162"/>
      <c r="Q263" s="162"/>
      <c r="R263" s="162"/>
      <c r="S263" s="162"/>
      <c r="T263" s="162"/>
      <c r="U263" s="162"/>
      <c r="V263" s="162"/>
      <c r="W263" s="162"/>
      <c r="X263" s="162"/>
      <c r="Y263" s="162"/>
      <c r="Z263" s="162"/>
      <c r="AA263" s="162"/>
      <c r="AB263" s="162"/>
      <c r="AC263" s="162"/>
      <c r="AD263" s="162"/>
    </row>
    <row r="264" spans="1:30" ht="15.75" customHeight="1">
      <c r="A264" s="640" t="s">
        <v>550</v>
      </c>
      <c r="B264" s="880">
        <v>10300</v>
      </c>
      <c r="C264" s="774"/>
      <c r="D264" s="162"/>
      <c r="E264" s="162"/>
      <c r="F264" s="162"/>
      <c r="G264" s="162"/>
      <c r="H264" s="162"/>
      <c r="I264" s="162"/>
      <c r="J264" s="226"/>
      <c r="K264" s="162"/>
      <c r="L264" s="162"/>
      <c r="M264" s="162"/>
      <c r="N264" s="162"/>
      <c r="O264" s="162"/>
      <c r="P264" s="162"/>
      <c r="Q264" s="162"/>
      <c r="R264" s="162"/>
      <c r="S264" s="162"/>
      <c r="T264" s="162"/>
      <c r="U264" s="162"/>
      <c r="V264" s="162"/>
      <c r="W264" s="162"/>
      <c r="X264" s="162"/>
      <c r="Y264" s="162"/>
      <c r="Z264" s="162"/>
      <c r="AA264" s="162"/>
      <c r="AB264" s="162"/>
      <c r="AC264" s="162"/>
      <c r="AD264" s="162"/>
    </row>
    <row r="265" spans="1:30" ht="15.75" customHeight="1">
      <c r="A265" s="640" t="s">
        <v>549</v>
      </c>
      <c r="B265" s="880">
        <v>8860</v>
      </c>
      <c r="C265" s="774"/>
      <c r="D265" s="162"/>
      <c r="E265" s="162"/>
      <c r="F265" s="162"/>
      <c r="G265" s="162"/>
      <c r="H265" s="162"/>
      <c r="I265" s="162"/>
      <c r="J265" s="226"/>
      <c r="K265" s="162"/>
      <c r="L265" s="162"/>
      <c r="M265" s="162"/>
      <c r="N265" s="162"/>
      <c r="O265" s="162"/>
      <c r="P265" s="162"/>
      <c r="Q265" s="162"/>
      <c r="R265" s="162"/>
      <c r="S265" s="162"/>
      <c r="T265" s="162"/>
      <c r="U265" s="162"/>
      <c r="V265" s="162"/>
      <c r="W265" s="162"/>
      <c r="X265" s="162"/>
      <c r="Y265" s="162"/>
      <c r="Z265" s="162"/>
      <c r="AA265" s="162"/>
      <c r="AB265" s="162"/>
      <c r="AC265" s="162"/>
      <c r="AD265" s="162"/>
    </row>
    <row r="266" spans="1:30" ht="15.75">
      <c r="A266" s="640" t="s">
        <v>551</v>
      </c>
      <c r="B266" s="880">
        <v>9160</v>
      </c>
      <c r="C266" s="774"/>
      <c r="D266" s="162"/>
      <c r="E266" s="162"/>
      <c r="F266" s="162"/>
      <c r="G266" s="162"/>
      <c r="H266" s="162"/>
      <c r="I266" s="162"/>
      <c r="J266" s="226"/>
      <c r="K266" s="162"/>
      <c r="L266" s="162"/>
      <c r="M266" s="162"/>
      <c r="N266" s="162"/>
      <c r="O266" s="162"/>
      <c r="P266" s="162"/>
      <c r="Q266" s="162"/>
      <c r="R266" s="162"/>
      <c r="S266" s="162"/>
      <c r="T266" s="162"/>
      <c r="U266" s="162"/>
      <c r="V266" s="162"/>
      <c r="W266" s="162"/>
      <c r="X266" s="162"/>
      <c r="Y266" s="162"/>
      <c r="Z266" s="162"/>
      <c r="AA266" s="162"/>
      <c r="AB266" s="162"/>
      <c r="AC266" s="162"/>
      <c r="AD266" s="162"/>
    </row>
    <row r="267" spans="1:30" ht="15.75">
      <c r="A267" s="640" t="s">
        <v>552</v>
      </c>
      <c r="B267" s="880">
        <v>9300</v>
      </c>
      <c r="C267" s="774"/>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row>
    <row r="268" spans="1:30" ht="15.75">
      <c r="A268" s="965" t="s">
        <v>757</v>
      </c>
      <c r="B268" s="966" t="s">
        <v>742</v>
      </c>
      <c r="C268" s="774"/>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row>
    <row r="269" spans="1:30">
      <c r="A269" s="1343" t="s">
        <v>1347</v>
      </c>
      <c r="B269" s="1344"/>
      <c r="C269" s="774"/>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row>
    <row r="270" spans="1:30" ht="106.7" customHeight="1">
      <c r="A270" s="1345"/>
      <c r="B270" s="1346"/>
      <c r="C270" s="774"/>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row>
    <row r="271" spans="1:30" ht="13.5" thickBot="1">
      <c r="A271" s="654"/>
      <c r="B271" s="655"/>
      <c r="C271" s="226"/>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row>
    <row r="272" spans="1:30" ht="13.5" thickBot="1">
      <c r="A272" s="325"/>
      <c r="B272" s="412" t="s">
        <v>442</v>
      </c>
      <c r="C272" s="353"/>
      <c r="D272" s="353"/>
      <c r="E272" s="35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row>
    <row r="273" spans="1:30" ht="13.5" thickBot="1">
      <c r="A273" s="424" t="s">
        <v>440</v>
      </c>
      <c r="B273" s="985" t="s">
        <v>441</v>
      </c>
      <c r="C273" s="1332" t="s">
        <v>443</v>
      </c>
      <c r="D273" s="1333"/>
      <c r="E273" s="1334"/>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row>
    <row r="274" spans="1:30">
      <c r="A274" s="323" t="s">
        <v>758</v>
      </c>
      <c r="B274" s="552">
        <v>16</v>
      </c>
      <c r="C274" s="1335" t="s">
        <v>444</v>
      </c>
      <c r="D274" s="1336"/>
      <c r="E274" s="1337"/>
      <c r="F274" s="774"/>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row>
    <row r="275" spans="1:30">
      <c r="A275" s="199" t="s">
        <v>759</v>
      </c>
      <c r="B275" s="553">
        <v>14</v>
      </c>
      <c r="C275" s="1315" t="s">
        <v>445</v>
      </c>
      <c r="D275" s="1316"/>
      <c r="E275" s="1317"/>
      <c r="F275" s="774"/>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row>
    <row r="276" spans="1:30">
      <c r="A276" s="199" t="s">
        <v>760</v>
      </c>
      <c r="B276" s="553">
        <v>19</v>
      </c>
      <c r="C276" s="1315" t="s">
        <v>446</v>
      </c>
      <c r="D276" s="1316"/>
      <c r="E276" s="1317"/>
      <c r="F276" s="774"/>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row>
    <row r="277" spans="1:30">
      <c r="A277" s="199" t="s">
        <v>761</v>
      </c>
      <c r="B277" s="553">
        <v>2100</v>
      </c>
      <c r="C277" s="1315" t="s">
        <v>447</v>
      </c>
      <c r="D277" s="1316"/>
      <c r="E277" s="1317"/>
      <c r="F277" s="774"/>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row>
    <row r="278" spans="1:30">
      <c r="A278" s="199" t="s">
        <v>762</v>
      </c>
      <c r="B278" s="553">
        <v>1330</v>
      </c>
      <c r="C278" s="1315" t="s">
        <v>448</v>
      </c>
      <c r="D278" s="1316"/>
      <c r="E278" s="1317"/>
      <c r="F278" s="774"/>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row>
    <row r="279" spans="1:30">
      <c r="A279" s="199" t="s">
        <v>763</v>
      </c>
      <c r="B279" s="553">
        <v>3444</v>
      </c>
      <c r="C279" s="1315" t="s">
        <v>449</v>
      </c>
      <c r="D279" s="1316"/>
      <c r="E279" s="1317"/>
      <c r="F279" s="774"/>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row>
    <row r="280" spans="1:30">
      <c r="A280" s="199" t="s">
        <v>764</v>
      </c>
      <c r="B280" s="553">
        <v>3922</v>
      </c>
      <c r="C280" s="1315" t="s">
        <v>450</v>
      </c>
      <c r="D280" s="1316"/>
      <c r="E280" s="1317"/>
      <c r="F280" s="774"/>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row>
    <row r="281" spans="1:30">
      <c r="A281" s="199" t="s">
        <v>765</v>
      </c>
      <c r="B281" s="553">
        <v>0</v>
      </c>
      <c r="C281" s="1315" t="s">
        <v>451</v>
      </c>
      <c r="D281" s="1316"/>
      <c r="E281" s="1317"/>
      <c r="F281" s="774"/>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row>
    <row r="282" spans="1:30">
      <c r="A282" s="199" t="s">
        <v>766</v>
      </c>
      <c r="B282" s="553">
        <v>2107</v>
      </c>
      <c r="C282" s="1315" t="s">
        <v>452</v>
      </c>
      <c r="D282" s="1316"/>
      <c r="E282" s="1317"/>
      <c r="F282" s="774"/>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row>
    <row r="283" spans="1:30">
      <c r="A283" s="199" t="s">
        <v>767</v>
      </c>
      <c r="B283" s="553">
        <v>2804</v>
      </c>
      <c r="C283" s="1315" t="s">
        <v>453</v>
      </c>
      <c r="D283" s="1316"/>
      <c r="E283" s="1317"/>
      <c r="F283" s="774"/>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row>
    <row r="284" spans="1:30">
      <c r="A284" s="199" t="s">
        <v>768</v>
      </c>
      <c r="B284" s="553">
        <v>1774</v>
      </c>
      <c r="C284" s="1315" t="s">
        <v>454</v>
      </c>
      <c r="D284" s="1316"/>
      <c r="E284" s="1317"/>
      <c r="F284" s="774"/>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row>
    <row r="285" spans="1:30">
      <c r="A285" s="199" t="s">
        <v>769</v>
      </c>
      <c r="B285" s="553">
        <v>1627</v>
      </c>
      <c r="C285" s="1315" t="s">
        <v>455</v>
      </c>
      <c r="D285" s="1316"/>
      <c r="E285" s="1317"/>
      <c r="F285" s="774"/>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row>
    <row r="286" spans="1:30">
      <c r="A286" s="199" t="s">
        <v>770</v>
      </c>
      <c r="B286" s="553">
        <v>1552</v>
      </c>
      <c r="C286" s="1315" t="s">
        <v>456</v>
      </c>
      <c r="D286" s="1316"/>
      <c r="E286" s="1317"/>
      <c r="F286" s="774"/>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row>
    <row r="287" spans="1:30">
      <c r="A287" s="199" t="s">
        <v>771</v>
      </c>
      <c r="B287" s="553">
        <v>2301</v>
      </c>
      <c r="C287" s="1315" t="s">
        <v>457</v>
      </c>
      <c r="D287" s="1316"/>
      <c r="E287" s="1317"/>
      <c r="F287" s="774"/>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row>
    <row r="288" spans="1:30">
      <c r="A288" s="199" t="s">
        <v>772</v>
      </c>
      <c r="B288" s="553">
        <v>0</v>
      </c>
      <c r="C288" s="1315" t="s">
        <v>458</v>
      </c>
      <c r="D288" s="1316"/>
      <c r="E288" s="1317"/>
      <c r="F288" s="774"/>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row>
    <row r="289" spans="1:30">
      <c r="A289" s="199" t="s">
        <v>773</v>
      </c>
      <c r="B289" s="553">
        <v>2088</v>
      </c>
      <c r="C289" s="1315" t="s">
        <v>459</v>
      </c>
      <c r="D289" s="1316"/>
      <c r="E289" s="1317"/>
      <c r="F289" s="774"/>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row>
    <row r="290" spans="1:30">
      <c r="A290" s="199" t="s">
        <v>774</v>
      </c>
      <c r="B290" s="553">
        <v>2229</v>
      </c>
      <c r="C290" s="1315" t="s">
        <v>460</v>
      </c>
      <c r="D290" s="1316"/>
      <c r="E290" s="1317"/>
      <c r="F290" s="774"/>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row>
    <row r="291" spans="1:30">
      <c r="A291" s="199" t="s">
        <v>775</v>
      </c>
      <c r="B291" s="553">
        <v>14</v>
      </c>
      <c r="C291" s="1318" t="s">
        <v>553</v>
      </c>
      <c r="D291" s="1319"/>
      <c r="E291" s="1320"/>
      <c r="F291" s="774"/>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row>
    <row r="292" spans="1:30">
      <c r="A292" s="199" t="s">
        <v>776</v>
      </c>
      <c r="B292" s="553">
        <v>4</v>
      </c>
      <c r="C292" s="1315" t="s">
        <v>461</v>
      </c>
      <c r="D292" s="1316"/>
      <c r="E292" s="1317"/>
      <c r="F292" s="774"/>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row>
    <row r="293" spans="1:30">
      <c r="A293" s="199" t="s">
        <v>777</v>
      </c>
      <c r="B293" s="553">
        <v>2053</v>
      </c>
      <c r="C293" s="1315" t="s">
        <v>462</v>
      </c>
      <c r="D293" s="1316"/>
      <c r="E293" s="1317"/>
      <c r="F293" s="774"/>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row>
    <row r="294" spans="1:30">
      <c r="A294" s="199" t="s">
        <v>778</v>
      </c>
      <c r="B294" s="553">
        <v>0</v>
      </c>
      <c r="C294" s="1315" t="s">
        <v>463</v>
      </c>
      <c r="D294" s="1316"/>
      <c r="E294" s="1317"/>
      <c r="F294" s="774"/>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row>
    <row r="295" spans="1:30">
      <c r="A295" s="199" t="s">
        <v>779</v>
      </c>
      <c r="B295" s="553">
        <v>0</v>
      </c>
      <c r="C295" s="1315" t="s">
        <v>464</v>
      </c>
      <c r="D295" s="1316"/>
      <c r="E295" s="1317"/>
      <c r="F295" s="774"/>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row>
    <row r="296" spans="1:30">
      <c r="A296" s="199" t="s">
        <v>780</v>
      </c>
      <c r="B296" s="553">
        <v>2346</v>
      </c>
      <c r="C296" s="1315" t="s">
        <v>465</v>
      </c>
      <c r="D296" s="1316"/>
      <c r="E296" s="1317"/>
      <c r="F296" s="774"/>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row>
    <row r="297" spans="1:30">
      <c r="A297" s="199" t="s">
        <v>781</v>
      </c>
      <c r="B297" s="553">
        <v>3143</v>
      </c>
      <c r="C297" s="1315" t="s">
        <v>466</v>
      </c>
      <c r="D297" s="1316"/>
      <c r="E297" s="1317"/>
      <c r="F297" s="774"/>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row>
    <row r="298" spans="1:30">
      <c r="A298" s="199" t="s">
        <v>782</v>
      </c>
      <c r="B298" s="553">
        <v>2729</v>
      </c>
      <c r="C298" s="1315" t="s">
        <v>467</v>
      </c>
      <c r="D298" s="1316"/>
      <c r="E298" s="1317"/>
      <c r="F298" s="774"/>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row>
    <row r="299" spans="1:30">
      <c r="A299" s="199" t="s">
        <v>783</v>
      </c>
      <c r="B299" s="553">
        <v>2280</v>
      </c>
      <c r="C299" s="1318" t="s">
        <v>1022</v>
      </c>
      <c r="D299" s="1319"/>
      <c r="E299" s="1320"/>
      <c r="F299" s="774"/>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row>
    <row r="300" spans="1:30">
      <c r="A300" s="199" t="s">
        <v>784</v>
      </c>
      <c r="B300" s="553">
        <v>2440</v>
      </c>
      <c r="C300" s="1338" t="s">
        <v>668</v>
      </c>
      <c r="D300" s="1339"/>
      <c r="E300" s="1340"/>
      <c r="F300" s="774"/>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row>
    <row r="301" spans="1:30" ht="13.35" customHeight="1">
      <c r="A301" s="199" t="s">
        <v>785</v>
      </c>
      <c r="B301" s="553">
        <v>1508</v>
      </c>
      <c r="C301" s="1338" t="s">
        <v>669</v>
      </c>
      <c r="D301" s="1339"/>
      <c r="E301" s="1340"/>
      <c r="F301" s="774"/>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row>
    <row r="302" spans="1:30">
      <c r="A302" s="199" t="s">
        <v>786</v>
      </c>
      <c r="B302" s="553">
        <v>3607</v>
      </c>
      <c r="C302" s="1315" t="s">
        <v>468</v>
      </c>
      <c r="D302" s="1316"/>
      <c r="E302" s="1317"/>
      <c r="F302" s="774"/>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row>
    <row r="303" spans="1:30" ht="13.35" customHeight="1">
      <c r="A303" s="199" t="s">
        <v>787</v>
      </c>
      <c r="B303" s="554">
        <v>3245</v>
      </c>
      <c r="C303" s="1338" t="s">
        <v>670</v>
      </c>
      <c r="D303" s="1339"/>
      <c r="E303" s="1340"/>
      <c r="F303" s="774"/>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row>
    <row r="304" spans="1:30">
      <c r="A304" s="627" t="s">
        <v>788</v>
      </c>
      <c r="B304" s="553">
        <v>32</v>
      </c>
      <c r="C304" s="1315" t="s">
        <v>469</v>
      </c>
      <c r="D304" s="1316"/>
      <c r="E304" s="1317"/>
      <c r="F304" s="774"/>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row>
    <row r="305" spans="1:30">
      <c r="A305" s="627" t="s">
        <v>789</v>
      </c>
      <c r="B305" s="553">
        <v>0</v>
      </c>
      <c r="C305" s="1315" t="s">
        <v>470</v>
      </c>
      <c r="D305" s="1316"/>
      <c r="E305" s="1317"/>
      <c r="F305" s="774"/>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row>
    <row r="306" spans="1:30">
      <c r="A306" s="627" t="s">
        <v>790</v>
      </c>
      <c r="B306" s="553">
        <v>325</v>
      </c>
      <c r="C306" s="1315" t="s">
        <v>471</v>
      </c>
      <c r="D306" s="1316"/>
      <c r="E306" s="1317"/>
      <c r="F306" s="774"/>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row>
    <row r="307" spans="1:30">
      <c r="A307" s="627" t="s">
        <v>791</v>
      </c>
      <c r="B307" s="553">
        <v>3985</v>
      </c>
      <c r="C307" s="1315" t="s">
        <v>472</v>
      </c>
      <c r="D307" s="1316"/>
      <c r="E307" s="1317"/>
      <c r="F307" s="774"/>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row>
    <row r="308" spans="1:30">
      <c r="A308" s="199" t="s">
        <v>792</v>
      </c>
      <c r="B308" s="553">
        <v>13214</v>
      </c>
      <c r="C308" s="1315" t="s">
        <v>473</v>
      </c>
      <c r="D308" s="1316"/>
      <c r="E308" s="1317"/>
      <c r="F308" s="774"/>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row>
    <row r="309" spans="1:30" ht="13.5" thickBot="1">
      <c r="A309" s="200" t="s">
        <v>793</v>
      </c>
      <c r="B309" s="555">
        <v>13396</v>
      </c>
      <c r="C309" s="1380" t="s">
        <v>474</v>
      </c>
      <c r="D309" s="1381"/>
      <c r="E309" s="1382"/>
      <c r="F309" s="774"/>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row>
    <row r="310" spans="1:30">
      <c r="A310" s="1323"/>
      <c r="B310" s="1323"/>
      <c r="C310" s="1323"/>
      <c r="D310" s="1323"/>
      <c r="E310" s="1323"/>
      <c r="F310" s="1323"/>
      <c r="G310" s="1323"/>
      <c r="H310" s="1323"/>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row>
    <row r="311" spans="1:30" ht="13.5" thickBot="1">
      <c r="A311" s="267" t="s">
        <v>485</v>
      </c>
      <c r="B311" s="268"/>
      <c r="C311" s="268"/>
      <c r="D311" s="268"/>
      <c r="E311" s="268"/>
      <c r="F311" s="268"/>
      <c r="G311" s="268"/>
      <c r="H311" s="268"/>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row>
    <row r="312" spans="1:30" ht="13.5" thickBot="1">
      <c r="A312" s="288" t="s">
        <v>486</v>
      </c>
      <c r="B312" s="289" t="s">
        <v>487</v>
      </c>
      <c r="C312" s="286"/>
      <c r="D312" s="286"/>
      <c r="E312" s="286"/>
      <c r="F312" s="286"/>
      <c r="G312" s="286"/>
      <c r="H312" s="286"/>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row>
    <row r="313" spans="1:30" ht="13.5" thickBot="1">
      <c r="A313" s="290" t="s">
        <v>178</v>
      </c>
      <c r="B313" s="291">
        <v>12.010999999999999</v>
      </c>
      <c r="C313" s="286"/>
      <c r="D313" s="286"/>
      <c r="E313" s="286"/>
      <c r="F313" s="286"/>
      <c r="G313" s="286"/>
      <c r="H313" s="286"/>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row>
    <row r="314" spans="1:30">
      <c r="B314" s="4"/>
      <c r="C314" s="4"/>
      <c r="D314" s="4"/>
      <c r="E314" s="4"/>
      <c r="F314" s="4"/>
      <c r="G314" s="4"/>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row>
    <row r="315" spans="1:30">
      <c r="A315" s="267" t="s">
        <v>643</v>
      </c>
      <c r="B315" s="268"/>
      <c r="C315" s="268"/>
      <c r="D315" s="268"/>
      <c r="E315" s="268"/>
      <c r="F315" s="268"/>
      <c r="G315" s="268"/>
      <c r="H315" s="268"/>
      <c r="I315" s="162"/>
      <c r="J315" s="162"/>
      <c r="K315" s="162"/>
      <c r="L315" s="162"/>
      <c r="M315" s="348"/>
      <c r="N315" s="348"/>
      <c r="O315" s="348"/>
      <c r="P315" s="162"/>
      <c r="Q315" s="162"/>
      <c r="R315" s="162"/>
      <c r="S315" s="162"/>
      <c r="T315" s="162"/>
      <c r="U315" s="162"/>
      <c r="V315" s="162"/>
      <c r="W315" s="162"/>
      <c r="X315" s="162"/>
      <c r="Y315" s="162"/>
      <c r="Z315" s="162"/>
      <c r="AA315" s="162"/>
      <c r="AB315" s="162"/>
      <c r="AC315" s="162"/>
      <c r="AD315" s="162"/>
    </row>
    <row r="316" spans="1:30" ht="15" thickBot="1">
      <c r="A316" s="742" t="s">
        <v>1313</v>
      </c>
      <c r="M316" s="1080"/>
      <c r="N316" s="1081"/>
      <c r="O316" s="1081"/>
    </row>
    <row r="317" spans="1:30" ht="14.25">
      <c r="A317" s="1312" t="s">
        <v>130</v>
      </c>
      <c r="B317" s="1313"/>
      <c r="C317" s="1314"/>
      <c r="D317" s="113" t="s">
        <v>40</v>
      </c>
      <c r="E317" s="125" t="s">
        <v>41</v>
      </c>
      <c r="F317" s="1321" t="s">
        <v>42</v>
      </c>
      <c r="G317" s="1322"/>
      <c r="H317" s="162"/>
      <c r="I317" s="162"/>
      <c r="J317" s="162"/>
      <c r="K317" s="162"/>
      <c r="L317" s="162"/>
      <c r="M317" s="350"/>
      <c r="N317" s="351"/>
      <c r="O317" s="351"/>
      <c r="P317" s="162"/>
      <c r="Q317" s="162"/>
      <c r="R317" s="162"/>
      <c r="S317" s="162"/>
      <c r="T317" s="162"/>
      <c r="U317" s="162"/>
      <c r="V317" s="162"/>
      <c r="W317" s="162"/>
      <c r="X317" s="162"/>
      <c r="Y317" s="162"/>
      <c r="Z317" s="162"/>
      <c r="AA317" s="162"/>
      <c r="AB317" s="162"/>
      <c r="AC317" s="162"/>
      <c r="AD317" s="162"/>
    </row>
    <row r="318" spans="1:30" ht="15" thickBot="1">
      <c r="A318" s="1310"/>
      <c r="B318" s="1311"/>
      <c r="C318" s="1266"/>
      <c r="D318" s="44" t="s">
        <v>77</v>
      </c>
      <c r="E318" s="97" t="s">
        <v>78</v>
      </c>
      <c r="F318" s="1265" t="s">
        <v>79</v>
      </c>
      <c r="G318" s="1309"/>
      <c r="H318" s="162"/>
      <c r="I318" s="162"/>
      <c r="J318" s="162"/>
      <c r="K318" s="162"/>
      <c r="L318" s="162"/>
      <c r="M318" s="350"/>
      <c r="N318" s="351"/>
      <c r="O318" s="351"/>
      <c r="P318" s="162"/>
      <c r="Q318" s="162"/>
      <c r="R318" s="162"/>
      <c r="S318" s="162"/>
      <c r="T318" s="162"/>
      <c r="U318" s="162"/>
      <c r="V318" s="162"/>
      <c r="W318" s="162"/>
      <c r="X318" s="162"/>
      <c r="Y318" s="162"/>
      <c r="Z318" s="162"/>
      <c r="AA318" s="162"/>
      <c r="AB318" s="162"/>
      <c r="AC318" s="162"/>
      <c r="AD318" s="162"/>
    </row>
    <row r="319" spans="1:30">
      <c r="A319" s="1377" t="s">
        <v>44</v>
      </c>
      <c r="B319" s="1378"/>
      <c r="C319" s="1379"/>
      <c r="D319" s="1082">
        <v>1067.7</v>
      </c>
      <c r="E319" s="1083">
        <v>9.0999999999999998E-2</v>
      </c>
      <c r="F319" s="1083"/>
      <c r="G319" s="1084">
        <v>1.2E-2</v>
      </c>
      <c r="H319" s="774"/>
      <c r="I319" s="774"/>
      <c r="J319" s="774"/>
      <c r="K319" s="774"/>
      <c r="L319" s="162"/>
      <c r="M319" s="350"/>
      <c r="N319" s="351"/>
      <c r="O319" s="351"/>
      <c r="P319" s="162"/>
      <c r="Q319" s="162"/>
      <c r="R319" s="162"/>
      <c r="S319" s="162"/>
      <c r="T319" s="162"/>
      <c r="U319" s="162"/>
      <c r="V319" s="162"/>
      <c r="W319" s="162"/>
      <c r="X319" s="162"/>
      <c r="Y319" s="162"/>
      <c r="Z319" s="162"/>
      <c r="AA319" s="162"/>
      <c r="AB319" s="162"/>
      <c r="AC319" s="162"/>
      <c r="AD319" s="162"/>
    </row>
    <row r="320" spans="1:30">
      <c r="A320" s="1324" t="s">
        <v>43</v>
      </c>
      <c r="B320" s="1325"/>
      <c r="C320" s="1326"/>
      <c r="D320" s="1085">
        <v>485.2</v>
      </c>
      <c r="E320" s="1086">
        <v>2.5000000000000001E-2</v>
      </c>
      <c r="F320" s="1086"/>
      <c r="G320" s="1087">
        <v>4.0000000000000001E-3</v>
      </c>
      <c r="H320" s="774"/>
      <c r="I320" s="774"/>
      <c r="J320" s="774"/>
      <c r="K320" s="774"/>
      <c r="L320" s="162"/>
      <c r="M320" s="350"/>
      <c r="N320" s="351"/>
      <c r="O320" s="351"/>
      <c r="P320" s="162"/>
      <c r="Q320" s="162"/>
      <c r="R320" s="162"/>
      <c r="S320" s="162"/>
      <c r="T320" s="162"/>
      <c r="U320" s="162"/>
      <c r="V320" s="162"/>
      <c r="W320" s="162"/>
      <c r="X320" s="162"/>
      <c r="Y320" s="162"/>
      <c r="Z320" s="162"/>
      <c r="AA320" s="162"/>
      <c r="AB320" s="162"/>
      <c r="AC320" s="162"/>
      <c r="AD320" s="162"/>
    </row>
    <row r="321" spans="1:30">
      <c r="A321" s="1324" t="s">
        <v>45</v>
      </c>
      <c r="B321" s="1325"/>
      <c r="C321" s="1326"/>
      <c r="D321" s="1085">
        <v>819.7</v>
      </c>
      <c r="E321" s="1086">
        <v>5.1999999999999998E-2</v>
      </c>
      <c r="F321" s="1086"/>
      <c r="G321" s="1087">
        <v>7.0000000000000001E-3</v>
      </c>
      <c r="H321" s="774"/>
      <c r="I321" s="774"/>
      <c r="J321" s="774"/>
      <c r="K321" s="774"/>
      <c r="L321" s="162"/>
      <c r="M321" s="350"/>
      <c r="N321" s="351"/>
      <c r="O321" s="351"/>
      <c r="P321" s="162"/>
      <c r="Q321" s="162"/>
      <c r="R321" s="162"/>
      <c r="S321" s="162"/>
      <c r="T321" s="162"/>
      <c r="U321" s="162"/>
      <c r="V321" s="162"/>
      <c r="W321" s="162"/>
      <c r="X321" s="162"/>
      <c r="Y321" s="162"/>
      <c r="Z321" s="162"/>
      <c r="AA321" s="162"/>
      <c r="AB321" s="162"/>
      <c r="AC321" s="162"/>
      <c r="AD321" s="162"/>
    </row>
    <row r="322" spans="1:30">
      <c r="A322" s="1324" t="s">
        <v>46</v>
      </c>
      <c r="B322" s="1325"/>
      <c r="C322" s="1326"/>
      <c r="D322" s="1085">
        <v>531.70000000000005</v>
      </c>
      <c r="E322" s="1086">
        <v>3.1E-2</v>
      </c>
      <c r="F322" s="1086"/>
      <c r="G322" s="1087">
        <v>4.0000000000000001E-3</v>
      </c>
      <c r="H322" s="774"/>
      <c r="I322" s="774"/>
      <c r="J322" s="774"/>
      <c r="K322" s="774"/>
      <c r="L322" s="162"/>
      <c r="M322" s="350"/>
      <c r="N322" s="351"/>
      <c r="O322" s="351"/>
      <c r="P322" s="162"/>
      <c r="Q322" s="162"/>
      <c r="R322" s="162"/>
      <c r="S322" s="162"/>
      <c r="T322" s="162"/>
      <c r="U322" s="162"/>
      <c r="V322" s="162"/>
      <c r="W322" s="162"/>
      <c r="X322" s="162"/>
      <c r="Y322" s="162"/>
      <c r="Z322" s="162"/>
      <c r="AA322" s="162"/>
      <c r="AB322" s="162"/>
      <c r="AC322" s="162"/>
      <c r="AD322" s="162"/>
    </row>
    <row r="323" spans="1:30">
      <c r="A323" s="1324" t="s">
        <v>47</v>
      </c>
      <c r="B323" s="1325"/>
      <c r="C323" s="1326"/>
      <c r="D323" s="1085">
        <v>813.6</v>
      </c>
      <c r="E323" s="1086">
        <v>5.3999999999999999E-2</v>
      </c>
      <c r="F323" s="1086"/>
      <c r="G323" s="1087">
        <v>8.0000000000000002E-3</v>
      </c>
      <c r="H323" s="774"/>
      <c r="I323" s="774"/>
      <c r="J323" s="774"/>
      <c r="K323" s="774"/>
      <c r="L323" s="162"/>
      <c r="M323" s="350"/>
      <c r="N323" s="351"/>
      <c r="O323" s="351"/>
      <c r="P323" s="162"/>
      <c r="Q323" s="162"/>
      <c r="R323" s="162"/>
      <c r="S323" s="162"/>
      <c r="T323" s="162"/>
      <c r="U323" s="162"/>
      <c r="V323" s="162"/>
      <c r="W323" s="162"/>
      <c r="X323" s="162"/>
      <c r="Y323" s="162"/>
      <c r="Z323" s="162"/>
      <c r="AA323" s="162"/>
      <c r="AB323" s="162"/>
      <c r="AC323" s="162"/>
      <c r="AD323" s="162"/>
    </row>
    <row r="324" spans="1:30">
      <c r="A324" s="1324" t="s">
        <v>48</v>
      </c>
      <c r="B324" s="1325"/>
      <c r="C324" s="1326"/>
      <c r="D324" s="1085">
        <v>832.9</v>
      </c>
      <c r="E324" s="1086">
        <v>5.2999999999999999E-2</v>
      </c>
      <c r="F324" s="1086"/>
      <c r="G324" s="1087">
        <v>7.0000000000000001E-3</v>
      </c>
      <c r="H324" s="774"/>
      <c r="I324" s="774"/>
      <c r="J324" s="774"/>
      <c r="K324" s="774"/>
      <c r="L324" s="162"/>
      <c r="M324" s="350"/>
      <c r="N324" s="351"/>
      <c r="O324" s="351"/>
      <c r="P324" s="162"/>
      <c r="Q324" s="162"/>
      <c r="R324" s="162"/>
      <c r="S324" s="162"/>
      <c r="T324" s="162"/>
      <c r="U324" s="162"/>
      <c r="V324" s="162"/>
      <c r="W324" s="162"/>
      <c r="X324" s="162"/>
      <c r="Y324" s="162"/>
      <c r="Z324" s="162"/>
      <c r="AA324" s="162"/>
      <c r="AB324" s="162"/>
      <c r="AC324" s="162"/>
      <c r="AD324" s="162"/>
    </row>
    <row r="325" spans="1:30">
      <c r="A325" s="1324" t="s">
        <v>49</v>
      </c>
      <c r="B325" s="1325"/>
      <c r="C325" s="1326"/>
      <c r="D325" s="1085">
        <v>1134.4000000000001</v>
      </c>
      <c r="E325" s="1086">
        <v>0.13500000000000001</v>
      </c>
      <c r="F325" s="1086"/>
      <c r="G325" s="1087">
        <v>2.1000000000000001E-2</v>
      </c>
      <c r="H325" s="774"/>
      <c r="I325" s="774"/>
      <c r="J325" s="774"/>
      <c r="K325" s="774"/>
      <c r="L325" s="162"/>
      <c r="M325" s="350"/>
      <c r="N325" s="351"/>
      <c r="O325" s="351"/>
      <c r="P325" s="162"/>
      <c r="Q325" s="162"/>
      <c r="R325" s="162"/>
      <c r="S325" s="162"/>
      <c r="T325" s="162"/>
      <c r="U325" s="162"/>
      <c r="V325" s="162"/>
      <c r="W325" s="162"/>
      <c r="X325" s="162"/>
      <c r="Y325" s="162"/>
      <c r="Z325" s="162"/>
      <c r="AA325" s="162"/>
      <c r="AB325" s="162"/>
      <c r="AC325" s="162"/>
      <c r="AD325" s="162"/>
    </row>
    <row r="326" spans="1:30">
      <c r="A326" s="1324" t="s">
        <v>50</v>
      </c>
      <c r="B326" s="1325"/>
      <c r="C326" s="1326"/>
      <c r="D326" s="1085">
        <v>1633.1</v>
      </c>
      <c r="E326" s="1086">
        <v>0.17599999999999999</v>
      </c>
      <c r="F326" s="1086"/>
      <c r="G326" s="1087">
        <v>2.7E-2</v>
      </c>
      <c r="H326" s="774"/>
      <c r="I326" s="774"/>
      <c r="J326" s="774"/>
      <c r="K326" s="774"/>
      <c r="L326" s="162"/>
      <c r="M326" s="350"/>
      <c r="N326" s="351"/>
      <c r="O326" s="351"/>
      <c r="P326" s="162"/>
      <c r="Q326" s="162"/>
      <c r="R326" s="162"/>
      <c r="S326" s="162"/>
      <c r="T326" s="162"/>
      <c r="U326" s="162"/>
      <c r="V326" s="162"/>
      <c r="W326" s="162"/>
      <c r="X326" s="162"/>
      <c r="Y326" s="162"/>
      <c r="Z326" s="162"/>
      <c r="AA326" s="162"/>
      <c r="AB326" s="162"/>
      <c r="AC326" s="162"/>
      <c r="AD326" s="162"/>
    </row>
    <row r="327" spans="1:30">
      <c r="A327" s="1324" t="s">
        <v>211</v>
      </c>
      <c r="B327" s="1325"/>
      <c r="C327" s="1326"/>
      <c r="D327" s="1085">
        <v>1582.1</v>
      </c>
      <c r="E327" s="1086">
        <v>0.14799999999999999</v>
      </c>
      <c r="F327" s="1086"/>
      <c r="G327" s="1087">
        <v>2.1999999999999999E-2</v>
      </c>
      <c r="H327" s="774"/>
      <c r="I327" s="774"/>
      <c r="J327" s="774"/>
      <c r="K327" s="774"/>
      <c r="L327" s="162"/>
      <c r="M327" s="350"/>
      <c r="N327" s="351"/>
      <c r="O327" s="351"/>
      <c r="P327" s="162"/>
      <c r="Q327" s="162"/>
      <c r="R327" s="162"/>
      <c r="S327" s="162"/>
      <c r="T327" s="162"/>
      <c r="U327" s="162"/>
      <c r="V327" s="162"/>
      <c r="W327" s="162"/>
      <c r="X327" s="162"/>
      <c r="Y327" s="162"/>
      <c r="Z327" s="162"/>
      <c r="AA327" s="162"/>
      <c r="AB327" s="162"/>
      <c r="AC327" s="162"/>
      <c r="AD327" s="162"/>
    </row>
    <row r="328" spans="1:30">
      <c r="A328" s="1324" t="s">
        <v>51</v>
      </c>
      <c r="B328" s="1325"/>
      <c r="C328" s="1326"/>
      <c r="D328" s="1085">
        <v>995.8</v>
      </c>
      <c r="E328" s="1086">
        <v>0.107</v>
      </c>
      <c r="F328" s="1086"/>
      <c r="G328" s="1087">
        <v>1.4999999999999999E-2</v>
      </c>
      <c r="H328" s="774"/>
      <c r="I328" s="774"/>
      <c r="J328" s="774"/>
      <c r="K328" s="774"/>
      <c r="L328" s="162"/>
      <c r="M328" s="350"/>
      <c r="N328" s="351"/>
      <c r="O328" s="351"/>
      <c r="P328" s="162"/>
      <c r="Q328" s="162"/>
      <c r="R328" s="162"/>
      <c r="S328" s="162"/>
      <c r="T328" s="162"/>
      <c r="U328" s="162"/>
      <c r="V328" s="162"/>
      <c r="W328" s="162"/>
      <c r="X328" s="162"/>
      <c r="Y328" s="162"/>
      <c r="Z328" s="162"/>
      <c r="AA328" s="162"/>
      <c r="AB328" s="162"/>
      <c r="AC328" s="162"/>
      <c r="AD328" s="162"/>
    </row>
    <row r="329" spans="1:30">
      <c r="A329" s="1324" t="s">
        <v>52</v>
      </c>
      <c r="B329" s="1325"/>
      <c r="C329" s="1326"/>
      <c r="D329" s="1085">
        <v>539.4</v>
      </c>
      <c r="E329" s="1086">
        <v>7.1999999999999995E-2</v>
      </c>
      <c r="F329" s="1086"/>
      <c r="G329" s="1087">
        <v>8.9999999999999993E-3</v>
      </c>
      <c r="H329" s="774"/>
      <c r="I329" s="774"/>
      <c r="J329" s="774"/>
      <c r="K329" s="774"/>
      <c r="L329" s="162"/>
      <c r="M329" s="350"/>
      <c r="N329" s="351"/>
      <c r="O329" s="351"/>
      <c r="P329" s="162"/>
      <c r="Q329" s="162"/>
      <c r="R329" s="162"/>
      <c r="S329" s="162"/>
      <c r="T329" s="162"/>
      <c r="U329" s="162"/>
      <c r="V329" s="162"/>
      <c r="W329" s="162"/>
      <c r="X329" s="162"/>
      <c r="Y329" s="162"/>
      <c r="Z329" s="162"/>
      <c r="AA329" s="162"/>
      <c r="AB329" s="162"/>
      <c r="AC329" s="162"/>
      <c r="AD329" s="162"/>
    </row>
    <row r="330" spans="1:30">
      <c r="A330" s="1324" t="s">
        <v>53</v>
      </c>
      <c r="B330" s="1325"/>
      <c r="C330" s="1326"/>
      <c r="D330" s="1085">
        <v>634.6</v>
      </c>
      <c r="E330" s="1086">
        <v>5.8000000000000003E-2</v>
      </c>
      <c r="F330" s="1086"/>
      <c r="G330" s="1087">
        <v>8.0000000000000002E-3</v>
      </c>
      <c r="H330" s="774"/>
      <c r="I330" s="774"/>
      <c r="J330" s="774"/>
      <c r="K330" s="774"/>
      <c r="L330" s="162"/>
      <c r="M330" s="350"/>
      <c r="N330" s="351"/>
      <c r="O330" s="351"/>
      <c r="P330" s="162"/>
      <c r="Q330" s="162"/>
      <c r="R330" s="162"/>
      <c r="S330" s="162"/>
      <c r="T330" s="162"/>
      <c r="U330" s="162"/>
      <c r="V330" s="162"/>
      <c r="W330" s="162"/>
      <c r="X330" s="162"/>
      <c r="Y330" s="162"/>
      <c r="Z330" s="162"/>
      <c r="AA330" s="162"/>
      <c r="AB330" s="162"/>
      <c r="AC330" s="162"/>
      <c r="AD330" s="162"/>
    </row>
    <row r="331" spans="1:30">
      <c r="A331" s="1324" t="s">
        <v>54</v>
      </c>
      <c r="B331" s="1325"/>
      <c r="C331" s="1326"/>
      <c r="D331" s="1085">
        <v>816.8</v>
      </c>
      <c r="E331" s="1086">
        <v>1.9E-2</v>
      </c>
      <c r="F331" s="1086"/>
      <c r="G331" s="1087">
        <v>2E-3</v>
      </c>
      <c r="H331" s="774"/>
      <c r="I331" s="774"/>
      <c r="J331" s="774"/>
      <c r="K331" s="774"/>
      <c r="L331" s="162"/>
      <c r="M331" s="350"/>
      <c r="N331" s="351"/>
      <c r="O331" s="351"/>
      <c r="P331" s="162"/>
      <c r="Q331" s="162"/>
      <c r="R331" s="162"/>
      <c r="S331" s="162"/>
      <c r="T331" s="162"/>
      <c r="U331" s="162"/>
      <c r="V331" s="162"/>
      <c r="W331" s="162"/>
      <c r="X331" s="162"/>
      <c r="Y331" s="162"/>
      <c r="Z331" s="162"/>
      <c r="AA331" s="162"/>
      <c r="AB331" s="162"/>
      <c r="AC331" s="162"/>
      <c r="AD331" s="162"/>
    </row>
    <row r="332" spans="1:30">
      <c r="A332" s="1324" t="s">
        <v>55</v>
      </c>
      <c r="B332" s="1325"/>
      <c r="C332" s="1326"/>
      <c r="D332" s="1085">
        <v>1210.9000000000001</v>
      </c>
      <c r="E332" s="1086">
        <v>0.126</v>
      </c>
      <c r="F332" s="1086"/>
      <c r="G332" s="1087">
        <v>1.6E-2</v>
      </c>
      <c r="H332" s="774"/>
      <c r="I332" s="774"/>
      <c r="J332" s="774"/>
      <c r="K332" s="774"/>
      <c r="L332" s="162"/>
      <c r="M332" s="350"/>
      <c r="N332" s="351"/>
      <c r="O332" s="351"/>
      <c r="P332" s="162"/>
      <c r="Q332" s="162"/>
      <c r="R332" s="162"/>
      <c r="S332" s="162"/>
      <c r="T332" s="162"/>
      <c r="U332" s="162"/>
      <c r="V332" s="162"/>
      <c r="W332" s="162"/>
      <c r="X332" s="162"/>
      <c r="Y332" s="162"/>
      <c r="Z332" s="162"/>
      <c r="AA332" s="162"/>
      <c r="AB332" s="162"/>
      <c r="AC332" s="162"/>
      <c r="AD332" s="162"/>
    </row>
    <row r="333" spans="1:30">
      <c r="A333" s="1324" t="s">
        <v>56</v>
      </c>
      <c r="B333" s="1325"/>
      <c r="C333" s="1326"/>
      <c r="D333" s="1085">
        <v>233.1</v>
      </c>
      <c r="E333" s="1086">
        <v>1.4999999999999999E-2</v>
      </c>
      <c r="F333" s="1086"/>
      <c r="G333" s="1087">
        <v>2E-3</v>
      </c>
      <c r="H333" s="774"/>
      <c r="I333" s="774"/>
      <c r="J333" s="774"/>
      <c r="K333" s="774"/>
      <c r="L333" s="162"/>
      <c r="M333" s="350"/>
      <c r="N333" s="351"/>
      <c r="O333" s="351"/>
      <c r="P333" s="162"/>
      <c r="Q333" s="162"/>
      <c r="R333" s="162"/>
      <c r="S333" s="162"/>
      <c r="T333" s="162"/>
      <c r="U333" s="162"/>
      <c r="V333" s="162"/>
      <c r="W333" s="162"/>
      <c r="X333" s="162"/>
      <c r="Y333" s="162"/>
      <c r="Z333" s="162"/>
      <c r="AA333" s="162"/>
      <c r="AB333" s="162"/>
      <c r="AC333" s="162"/>
      <c r="AD333" s="162"/>
    </row>
    <row r="334" spans="1:30">
      <c r="A334" s="729" t="s">
        <v>1209</v>
      </c>
      <c r="B334" s="730"/>
      <c r="C334" s="731"/>
      <c r="D334" s="1085">
        <v>1558</v>
      </c>
      <c r="E334" s="1086">
        <v>8.1000000000000003E-2</v>
      </c>
      <c r="F334" s="1086"/>
      <c r="G334" s="1087">
        <v>1.2999999999999999E-2</v>
      </c>
      <c r="H334" s="774"/>
      <c r="I334" s="774"/>
      <c r="J334" s="774"/>
      <c r="K334" s="774"/>
      <c r="L334" s="162"/>
      <c r="M334" s="350"/>
      <c r="N334" s="351"/>
      <c r="O334" s="351"/>
      <c r="P334" s="162"/>
      <c r="Q334" s="162"/>
      <c r="R334" s="162"/>
      <c r="S334" s="162"/>
      <c r="T334" s="162"/>
      <c r="U334" s="162"/>
      <c r="V334" s="162"/>
      <c r="W334" s="162"/>
      <c r="X334" s="162"/>
      <c r="Y334" s="162"/>
      <c r="Z334" s="162"/>
      <c r="AA334" s="162"/>
      <c r="AB334" s="162"/>
      <c r="AC334" s="162"/>
      <c r="AD334" s="162"/>
    </row>
    <row r="335" spans="1:30">
      <c r="A335" s="1324" t="s">
        <v>57</v>
      </c>
      <c r="B335" s="1325"/>
      <c r="C335" s="1326"/>
      <c r="D335" s="1085">
        <v>672.8</v>
      </c>
      <c r="E335" s="1086">
        <v>4.9000000000000002E-2</v>
      </c>
      <c r="F335" s="1086"/>
      <c r="G335" s="1087">
        <v>7.0000000000000001E-3</v>
      </c>
      <c r="H335" s="774"/>
      <c r="I335" s="774"/>
      <c r="J335" s="774"/>
      <c r="K335" s="774"/>
      <c r="L335" s="162"/>
      <c r="M335" s="350"/>
      <c r="N335" s="351"/>
      <c r="O335" s="351"/>
      <c r="P335" s="162"/>
      <c r="Q335" s="162"/>
      <c r="R335" s="162"/>
      <c r="S335" s="162"/>
      <c r="T335" s="162"/>
      <c r="U335" s="162"/>
      <c r="V335" s="162"/>
      <c r="W335" s="162"/>
      <c r="X335" s="162"/>
      <c r="Y335" s="162"/>
      <c r="Z335" s="162"/>
      <c r="AA335" s="162"/>
      <c r="AB335" s="162"/>
      <c r="AC335" s="162"/>
      <c r="AD335" s="162"/>
    </row>
    <row r="336" spans="1:30">
      <c r="A336" s="1324" t="s">
        <v>58</v>
      </c>
      <c r="B336" s="1325"/>
      <c r="C336" s="1326"/>
      <c r="D336" s="1085">
        <v>1214.0999999999999</v>
      </c>
      <c r="E336" s="1086">
        <v>0.115</v>
      </c>
      <c r="F336" s="1086"/>
      <c r="G336" s="1087">
        <v>1.6E-2</v>
      </c>
      <c r="H336" s="774"/>
      <c r="I336" s="774"/>
      <c r="J336" s="774"/>
      <c r="K336" s="774"/>
      <c r="L336" s="162"/>
      <c r="M336" s="350"/>
      <c r="N336" s="351"/>
      <c r="O336" s="351"/>
      <c r="P336" s="162"/>
      <c r="Q336" s="162"/>
      <c r="R336" s="162"/>
      <c r="S336" s="162"/>
      <c r="T336" s="162"/>
      <c r="U336" s="162"/>
      <c r="V336" s="162"/>
      <c r="W336" s="162"/>
      <c r="X336" s="162"/>
      <c r="Y336" s="162"/>
      <c r="Z336" s="162"/>
      <c r="AA336" s="162"/>
      <c r="AB336" s="162"/>
      <c r="AC336" s="162"/>
      <c r="AD336" s="162"/>
    </row>
    <row r="337" spans="1:30">
      <c r="A337" s="1324" t="s">
        <v>59</v>
      </c>
      <c r="B337" s="1325"/>
      <c r="C337" s="1326"/>
      <c r="D337" s="1085">
        <v>1046.0999999999999</v>
      </c>
      <c r="E337" s="1086">
        <v>9.5000000000000001E-2</v>
      </c>
      <c r="F337" s="1086"/>
      <c r="G337" s="1087">
        <v>1.4E-2</v>
      </c>
      <c r="H337" s="774"/>
      <c r="I337" s="774"/>
      <c r="J337" s="774"/>
      <c r="K337" s="774"/>
      <c r="L337" s="162"/>
      <c r="M337" s="350"/>
      <c r="N337" s="351"/>
      <c r="O337" s="351"/>
      <c r="P337" s="162"/>
      <c r="Q337" s="162"/>
      <c r="R337" s="162"/>
      <c r="S337" s="162"/>
      <c r="T337" s="162"/>
      <c r="U337" s="162"/>
      <c r="V337" s="162"/>
      <c r="W337" s="162"/>
      <c r="X337" s="162"/>
      <c r="Y337" s="162"/>
      <c r="Z337" s="162"/>
      <c r="AA337" s="162"/>
      <c r="AB337" s="162"/>
      <c r="AC337" s="162"/>
      <c r="AD337" s="162"/>
    </row>
    <row r="338" spans="1:30">
      <c r="A338" s="1324" t="s">
        <v>60</v>
      </c>
      <c r="B338" s="1325"/>
      <c r="C338" s="1326"/>
      <c r="D338" s="1085">
        <v>1158.9000000000001</v>
      </c>
      <c r="E338" s="1086">
        <v>0.109</v>
      </c>
      <c r="F338" s="1086"/>
      <c r="G338" s="1087">
        <v>1.6E-2</v>
      </c>
      <c r="H338" s="774"/>
      <c r="I338" s="774"/>
      <c r="J338" s="774"/>
      <c r="K338" s="774"/>
      <c r="L338" s="349"/>
      <c r="M338" s="350"/>
      <c r="N338" s="351"/>
      <c r="O338" s="351"/>
      <c r="P338" s="162"/>
      <c r="Q338" s="162"/>
      <c r="R338" s="162"/>
      <c r="S338" s="162"/>
      <c r="T338" s="162"/>
      <c r="U338" s="162"/>
      <c r="V338" s="162"/>
      <c r="W338" s="162"/>
      <c r="X338" s="162"/>
      <c r="Y338" s="162"/>
      <c r="Z338" s="162"/>
      <c r="AA338" s="162"/>
      <c r="AB338" s="162"/>
      <c r="AC338" s="162"/>
      <c r="AD338" s="162"/>
    </row>
    <row r="339" spans="1:30">
      <c r="A339" s="1324" t="s">
        <v>61</v>
      </c>
      <c r="B339" s="1325"/>
      <c r="C339" s="1326"/>
      <c r="D339" s="1085">
        <v>991.7</v>
      </c>
      <c r="E339" s="1086">
        <v>0.108</v>
      </c>
      <c r="F339" s="1086"/>
      <c r="G339" s="1087">
        <v>1.6E-2</v>
      </c>
      <c r="H339" s="774"/>
      <c r="I339" s="774"/>
      <c r="J339" s="774"/>
      <c r="K339" s="774"/>
      <c r="L339" s="349"/>
      <c r="M339" s="350"/>
      <c r="N339" s="351"/>
      <c r="O339" s="351"/>
      <c r="P339" s="162"/>
      <c r="Q339" s="162"/>
      <c r="R339" s="162"/>
      <c r="S339" s="162"/>
      <c r="T339" s="162"/>
      <c r="U339" s="162"/>
      <c r="V339" s="162"/>
      <c r="W339" s="162"/>
      <c r="X339" s="162"/>
      <c r="Y339" s="162"/>
      <c r="Z339" s="162"/>
      <c r="AA339" s="162"/>
      <c r="AB339" s="162"/>
      <c r="AC339" s="162"/>
      <c r="AD339" s="162"/>
    </row>
    <row r="340" spans="1:30">
      <c r="A340" s="1324" t="s">
        <v>62</v>
      </c>
      <c r="B340" s="1325"/>
      <c r="C340" s="1326"/>
      <c r="D340" s="1085">
        <v>1031.5999999999999</v>
      </c>
      <c r="E340" s="1086">
        <v>0.08</v>
      </c>
      <c r="F340" s="1086"/>
      <c r="G340" s="1087">
        <v>1.2E-2</v>
      </c>
      <c r="H340" s="774"/>
      <c r="I340" s="774"/>
      <c r="J340" s="774"/>
      <c r="K340" s="774"/>
      <c r="L340" s="349"/>
      <c r="M340" s="350"/>
      <c r="N340" s="351"/>
      <c r="O340" s="351"/>
      <c r="P340" s="162"/>
      <c r="Q340" s="162"/>
      <c r="R340" s="162"/>
      <c r="S340" s="162"/>
      <c r="T340" s="162"/>
      <c r="U340" s="162"/>
      <c r="V340" s="162"/>
      <c r="W340" s="162"/>
      <c r="X340" s="162"/>
      <c r="Y340" s="162"/>
      <c r="Z340" s="162"/>
      <c r="AA340" s="162"/>
      <c r="AB340" s="162"/>
      <c r="AC340" s="162"/>
      <c r="AD340" s="162"/>
    </row>
    <row r="341" spans="1:30">
      <c r="A341" s="1324" t="s">
        <v>63</v>
      </c>
      <c r="B341" s="1325"/>
      <c r="C341" s="1326"/>
      <c r="D341" s="1085">
        <v>772.7</v>
      </c>
      <c r="E341" s="1086">
        <v>0.04</v>
      </c>
      <c r="F341" s="1086"/>
      <c r="G341" s="1087">
        <v>6.0000000000000001E-3</v>
      </c>
      <c r="H341" s="774"/>
      <c r="I341" s="774"/>
      <c r="J341" s="774"/>
      <c r="K341" s="774"/>
      <c r="L341" s="349"/>
      <c r="M341" s="350"/>
      <c r="N341" s="351"/>
      <c r="O341" s="351"/>
      <c r="P341" s="162"/>
      <c r="Q341" s="162"/>
      <c r="R341" s="162"/>
      <c r="S341" s="162"/>
      <c r="T341" s="162"/>
      <c r="U341" s="162"/>
      <c r="V341" s="162"/>
      <c r="W341" s="162"/>
      <c r="X341" s="162"/>
      <c r="Y341" s="162"/>
      <c r="Z341" s="162"/>
      <c r="AA341" s="162"/>
      <c r="AB341" s="162"/>
      <c r="AC341" s="162"/>
      <c r="AD341" s="162"/>
    </row>
    <row r="342" spans="1:30">
      <c r="A342" s="1324" t="s">
        <v>64</v>
      </c>
      <c r="B342" s="1325"/>
      <c r="C342" s="1326"/>
      <c r="D342" s="1085">
        <v>1543</v>
      </c>
      <c r="E342" s="1086">
        <v>0.17100000000000001</v>
      </c>
      <c r="F342" s="1086"/>
      <c r="G342" s="1087">
        <v>2.5000000000000001E-2</v>
      </c>
      <c r="H342" s="774"/>
      <c r="I342" s="774"/>
      <c r="J342" s="774"/>
      <c r="K342" s="774"/>
      <c r="L342" s="349"/>
      <c r="M342" s="350"/>
      <c r="N342" s="351"/>
      <c r="O342" s="351"/>
      <c r="P342" s="162"/>
      <c r="Q342" s="162"/>
      <c r="R342" s="162"/>
      <c r="S342" s="162"/>
      <c r="T342" s="162"/>
      <c r="U342" s="162"/>
      <c r="V342" s="162"/>
      <c r="W342" s="162"/>
      <c r="X342" s="162"/>
      <c r="Y342" s="162"/>
      <c r="Z342" s="162"/>
      <c r="AA342" s="162"/>
      <c r="AB342" s="162"/>
      <c r="AC342" s="162"/>
      <c r="AD342" s="162"/>
    </row>
    <row r="343" spans="1:30">
      <c r="A343" s="1324" t="s">
        <v>65</v>
      </c>
      <c r="B343" s="1325"/>
      <c r="C343" s="1326"/>
      <c r="D343" s="1085">
        <v>891.9</v>
      </c>
      <c r="E343" s="1086">
        <v>6.7000000000000004E-2</v>
      </c>
      <c r="F343" s="1086"/>
      <c r="G343" s="1087">
        <v>0.01</v>
      </c>
      <c r="H343" s="774"/>
      <c r="I343" s="774"/>
      <c r="J343" s="774"/>
      <c r="K343" s="774"/>
      <c r="L343" s="162"/>
      <c r="M343" s="162"/>
      <c r="N343" s="162"/>
      <c r="O343" s="162"/>
      <c r="P343" s="162"/>
      <c r="Q343" s="162"/>
      <c r="R343" s="162"/>
      <c r="S343" s="162"/>
      <c r="T343" s="162"/>
      <c r="U343" s="162"/>
      <c r="V343" s="162"/>
      <c r="W343" s="162"/>
      <c r="X343" s="162"/>
      <c r="Y343" s="162"/>
      <c r="Z343" s="162"/>
      <c r="AA343" s="162"/>
      <c r="AB343" s="162"/>
      <c r="AC343" s="162"/>
      <c r="AD343" s="162"/>
    </row>
    <row r="344" spans="1:30">
      <c r="A344" s="1324" t="s">
        <v>66</v>
      </c>
      <c r="B344" s="1325"/>
      <c r="C344" s="1326"/>
      <c r="D344" s="1085">
        <v>931.6</v>
      </c>
      <c r="E344" s="1086">
        <v>8.6999999999999994E-2</v>
      </c>
      <c r="F344" s="1086"/>
      <c r="G344" s="1087">
        <v>1.2999999999999999E-2</v>
      </c>
      <c r="H344" s="774"/>
      <c r="I344" s="774"/>
      <c r="J344" s="774"/>
      <c r="K344" s="774"/>
      <c r="L344" s="162"/>
      <c r="M344" s="162"/>
      <c r="N344" s="163"/>
      <c r="O344" s="163"/>
      <c r="P344" s="162"/>
      <c r="Q344" s="162"/>
      <c r="R344" s="162"/>
      <c r="S344" s="162"/>
      <c r="T344" s="162"/>
      <c r="U344" s="162"/>
      <c r="V344" s="162"/>
      <c r="W344" s="162"/>
      <c r="X344" s="162"/>
      <c r="Y344" s="162"/>
      <c r="Z344" s="162"/>
      <c r="AA344" s="162"/>
      <c r="AB344" s="162"/>
      <c r="AC344" s="162"/>
      <c r="AD344" s="162"/>
    </row>
    <row r="345" spans="1:30" ht="13.5" thickBot="1">
      <c r="A345" s="1327" t="s">
        <v>67</v>
      </c>
      <c r="B345" s="1328"/>
      <c r="C345" s="1329"/>
      <c r="D345" s="1088">
        <v>639.70000000000005</v>
      </c>
      <c r="E345" s="1089">
        <v>5.1999999999999998E-2</v>
      </c>
      <c r="F345" s="1089"/>
      <c r="G345" s="1090">
        <v>7.0000000000000001E-3</v>
      </c>
      <c r="H345" s="774"/>
      <c r="I345" s="774"/>
      <c r="J345" s="774"/>
      <c r="K345" s="774"/>
      <c r="L345" s="162"/>
      <c r="M345" s="162"/>
      <c r="N345" s="163"/>
      <c r="O345" s="163"/>
      <c r="P345" s="162"/>
      <c r="Q345" s="162"/>
      <c r="R345" s="162"/>
      <c r="S345" s="162"/>
      <c r="T345" s="162"/>
      <c r="U345" s="162"/>
      <c r="V345" s="162"/>
      <c r="W345" s="162"/>
      <c r="X345" s="162"/>
      <c r="Y345" s="162"/>
      <c r="Z345" s="162"/>
      <c r="AA345" s="162"/>
      <c r="AB345" s="162"/>
      <c r="AC345" s="162"/>
      <c r="AD345" s="162"/>
    </row>
    <row r="346" spans="1:30">
      <c r="A346" s="1103" t="s">
        <v>1346</v>
      </c>
      <c r="B346" s="964"/>
      <c r="C346" s="964"/>
      <c r="D346" s="1091"/>
      <c r="E346" s="1092"/>
      <c r="F346" s="1092"/>
      <c r="G346" s="1092"/>
      <c r="H346" s="774"/>
      <c r="I346" s="774"/>
      <c r="J346" s="774"/>
      <c r="K346" s="774"/>
      <c r="L346" s="162"/>
      <c r="M346" s="162"/>
      <c r="N346" s="163"/>
      <c r="O346" s="163"/>
      <c r="P346" s="162"/>
      <c r="Q346" s="162"/>
      <c r="R346" s="162"/>
      <c r="S346" s="162"/>
      <c r="T346" s="162"/>
      <c r="U346" s="162"/>
      <c r="V346" s="162"/>
      <c r="W346" s="162"/>
      <c r="X346" s="162"/>
      <c r="Y346" s="162"/>
      <c r="Z346" s="162"/>
      <c r="AA346" s="162"/>
      <c r="AB346" s="162"/>
      <c r="AC346" s="162"/>
      <c r="AD346" s="162"/>
    </row>
    <row r="347" spans="1:30">
      <c r="A347" s="77"/>
      <c r="B347" s="4"/>
      <c r="C347" s="4"/>
      <c r="D347" s="72"/>
      <c r="E347" s="4"/>
      <c r="F347" s="4"/>
      <c r="G347" s="4"/>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row>
    <row r="348" spans="1:30" ht="13.5" thickBot="1">
      <c r="A348" s="267" t="s">
        <v>1023</v>
      </c>
      <c r="B348" s="268"/>
      <c r="C348" s="268"/>
      <c r="D348" s="268"/>
      <c r="E348" s="268"/>
      <c r="F348" s="268"/>
      <c r="G348" s="268"/>
      <c r="H348" s="268"/>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row>
    <row r="349" spans="1:30" ht="27.75" thickBot="1">
      <c r="A349" s="426" t="s">
        <v>135</v>
      </c>
      <c r="B349" s="193" t="s">
        <v>270</v>
      </c>
      <c r="C349" s="193" t="s">
        <v>271</v>
      </c>
      <c r="D349" s="193" t="s">
        <v>264</v>
      </c>
      <c r="E349" s="427" t="s">
        <v>159</v>
      </c>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row>
    <row r="350" spans="1:30">
      <c r="A350" s="671" t="s">
        <v>3</v>
      </c>
      <c r="B350" s="1093">
        <v>0.313</v>
      </c>
      <c r="C350" s="1093">
        <v>8.0000000000000002E-3</v>
      </c>
      <c r="D350" s="1093">
        <v>7.0000000000000001E-3</v>
      </c>
      <c r="E350" s="881" t="s">
        <v>273</v>
      </c>
      <c r="F350" s="775"/>
      <c r="G350" s="775"/>
      <c r="H350" s="775"/>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row>
    <row r="351" spans="1:30">
      <c r="A351" s="634" t="s">
        <v>4</v>
      </c>
      <c r="B351" s="1094">
        <v>0.46700000000000003</v>
      </c>
      <c r="C351" s="1094">
        <v>1.2999999999999999E-2</v>
      </c>
      <c r="D351" s="1094">
        <v>1.2E-2</v>
      </c>
      <c r="E351" s="884" t="s">
        <v>273</v>
      </c>
      <c r="F351" s="775"/>
      <c r="G351" s="775"/>
      <c r="H351" s="775"/>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row>
    <row r="352" spans="1:30" ht="13.5" thickBot="1">
      <c r="A352" s="672" t="s">
        <v>5</v>
      </c>
      <c r="B352" s="1095">
        <v>0.17799999999999999</v>
      </c>
      <c r="C352" s="1095">
        <v>0.111</v>
      </c>
      <c r="D352" s="1095">
        <v>1.9E-2</v>
      </c>
      <c r="E352" s="883" t="s">
        <v>273</v>
      </c>
      <c r="F352" s="775"/>
      <c r="G352" s="775"/>
      <c r="H352" s="775"/>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row>
    <row r="353" spans="1:30">
      <c r="A353" s="674" t="s">
        <v>1183</v>
      </c>
      <c r="B353" s="1096">
        <v>5.8000000000000003E-2</v>
      </c>
      <c r="C353" s="1097">
        <v>5.4999999999999997E-3</v>
      </c>
      <c r="D353" s="1097">
        <v>6.9999999999999999E-4</v>
      </c>
      <c r="E353" s="882" t="s">
        <v>274</v>
      </c>
      <c r="F353" s="775"/>
      <c r="G353" s="775"/>
      <c r="H353" s="775"/>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row>
    <row r="354" spans="1:30">
      <c r="A354" s="675" t="s">
        <v>1184</v>
      </c>
      <c r="B354" s="1094">
        <v>0.15</v>
      </c>
      <c r="C354" s="877">
        <v>1.17E-2</v>
      </c>
      <c r="D354" s="877">
        <v>3.8E-3</v>
      </c>
      <c r="E354" s="882" t="s">
        <v>274</v>
      </c>
      <c r="F354" s="775"/>
      <c r="G354" s="775"/>
      <c r="H354" s="775"/>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row>
    <row r="355" spans="1:30">
      <c r="A355" s="675" t="s">
        <v>1185</v>
      </c>
      <c r="B355" s="1094">
        <v>0.113</v>
      </c>
      <c r="C355" s="877">
        <v>9.1999999999999998E-3</v>
      </c>
      <c r="D355" s="877">
        <v>2.5999999999999999E-3</v>
      </c>
      <c r="E355" s="882" t="s">
        <v>274</v>
      </c>
      <c r="F355" s="775"/>
      <c r="G355" s="775"/>
      <c r="H355" s="775"/>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row>
    <row r="356" spans="1:30">
      <c r="A356" s="673" t="s">
        <v>195</v>
      </c>
      <c r="B356" s="1098">
        <v>0.13500000000000001</v>
      </c>
      <c r="C356" s="1099">
        <v>1.09E-2</v>
      </c>
      <c r="D356" s="1099">
        <v>2.7000000000000001E-3</v>
      </c>
      <c r="E356" s="884" t="s">
        <v>274</v>
      </c>
      <c r="F356" s="775"/>
      <c r="G356" s="775"/>
      <c r="H356" s="775"/>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row>
    <row r="357" spans="1:30">
      <c r="A357" s="673" t="s">
        <v>196</v>
      </c>
      <c r="B357" s="1098">
        <v>9.6000000000000002E-2</v>
      </c>
      <c r="C357" s="1099">
        <v>8.0000000000000002E-3</v>
      </c>
      <c r="D357" s="1099">
        <v>1.1000000000000001E-3</v>
      </c>
      <c r="E357" s="884" t="s">
        <v>274</v>
      </c>
      <c r="F357" s="775"/>
      <c r="G357" s="775"/>
      <c r="H357" s="775"/>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row>
    <row r="358" spans="1:30">
      <c r="A358" s="673" t="s">
        <v>266</v>
      </c>
      <c r="B358" s="1094">
        <v>5.5E-2</v>
      </c>
      <c r="C358" s="1100">
        <v>6.3E-3</v>
      </c>
      <c r="D358" s="877">
        <v>1.1000000000000001E-3</v>
      </c>
      <c r="E358" s="884" t="s">
        <v>274</v>
      </c>
      <c r="F358" s="775"/>
      <c r="G358" s="775"/>
      <c r="H358" s="775"/>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row>
    <row r="359" spans="1:30">
      <c r="A359" s="634" t="s">
        <v>1321</v>
      </c>
      <c r="B359" s="1101">
        <v>0.20699999999999999</v>
      </c>
      <c r="C359" s="877">
        <v>6.4000000000000003E-3</v>
      </c>
      <c r="D359" s="877">
        <v>6.6E-3</v>
      </c>
      <c r="E359" s="884" t="s">
        <v>274</v>
      </c>
      <c r="F359" s="775"/>
      <c r="G359" s="775"/>
      <c r="H359" s="775"/>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row>
    <row r="360" spans="1:30" ht="25.5">
      <c r="A360" s="1104" t="s">
        <v>1322</v>
      </c>
      <c r="B360" s="1094">
        <v>0.129</v>
      </c>
      <c r="C360" s="877">
        <v>5.9999999999999995E-4</v>
      </c>
      <c r="D360" s="877">
        <v>4.1000000000000003E-3</v>
      </c>
      <c r="E360" s="884" t="s">
        <v>274</v>
      </c>
      <c r="F360" s="775"/>
      <c r="G360" s="775"/>
      <c r="H360" s="775"/>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row>
    <row r="361" spans="1:30" ht="13.5" thickBot="1">
      <c r="A361" s="672" t="s">
        <v>1323</v>
      </c>
      <c r="B361" s="1095">
        <v>0.16300000000000001</v>
      </c>
      <c r="C361" s="1102">
        <v>5.9999999999999995E-4</v>
      </c>
      <c r="D361" s="1078">
        <v>5.1999999999999998E-3</v>
      </c>
      <c r="E361" s="883" t="s">
        <v>274</v>
      </c>
      <c r="F361" s="907"/>
      <c r="G361" s="775"/>
      <c r="H361" s="775"/>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row>
    <row r="362" spans="1:30">
      <c r="A362" s="312"/>
      <c r="B362" s="162"/>
      <c r="C362" s="162"/>
      <c r="D362" s="162"/>
      <c r="E362" s="183"/>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row>
    <row r="363" spans="1:30" ht="13.5" thickBot="1">
      <c r="A363" s="267" t="s">
        <v>1335</v>
      </c>
      <c r="B363" s="268"/>
      <c r="C363" s="268"/>
      <c r="D363" s="268"/>
      <c r="E363" s="268"/>
      <c r="F363" s="268"/>
      <c r="G363" s="268"/>
      <c r="H363" s="268"/>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row>
    <row r="364" spans="1:30" ht="27.75" thickBot="1">
      <c r="A364" s="426" t="s">
        <v>135</v>
      </c>
      <c r="B364" s="193" t="s">
        <v>270</v>
      </c>
      <c r="C364" s="193" t="s">
        <v>271</v>
      </c>
      <c r="D364" s="193" t="s">
        <v>264</v>
      </c>
      <c r="E364" s="427" t="s">
        <v>159</v>
      </c>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row>
    <row r="365" spans="1:30">
      <c r="A365" s="628" t="s">
        <v>656</v>
      </c>
      <c r="B365" s="1093">
        <v>1.387</v>
      </c>
      <c r="C365" s="1093">
        <v>1.2999999999999999E-2</v>
      </c>
      <c r="D365" s="1093">
        <v>3.7999999999999999E-2</v>
      </c>
      <c r="E365" s="881" t="s">
        <v>273</v>
      </c>
      <c r="F365" s="775"/>
      <c r="G365" s="775"/>
      <c r="H365" s="775"/>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row>
    <row r="366" spans="1:30">
      <c r="A366" s="652" t="s">
        <v>3</v>
      </c>
      <c r="B366" s="1094">
        <v>0.313</v>
      </c>
      <c r="C366" s="1094">
        <v>8.0000000000000002E-3</v>
      </c>
      <c r="D366" s="1094">
        <v>7.0000000000000001E-3</v>
      </c>
      <c r="E366" s="882" t="s">
        <v>273</v>
      </c>
      <c r="F366" s="775"/>
      <c r="G366" s="775"/>
      <c r="H366" s="775"/>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row>
    <row r="367" spans="1:30" ht="13.5" thickBot="1">
      <c r="A367" s="653" t="s">
        <v>4</v>
      </c>
      <c r="B367" s="1095">
        <v>0.46700000000000003</v>
      </c>
      <c r="C367" s="1095">
        <v>1.2999999999999999E-2</v>
      </c>
      <c r="D367" s="1095">
        <v>1.2E-2</v>
      </c>
      <c r="E367" s="883" t="s">
        <v>273</v>
      </c>
      <c r="F367" s="775"/>
      <c r="G367" s="775"/>
      <c r="H367" s="775"/>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row>
    <row r="368" spans="1:30">
      <c r="A368" s="628" t="s">
        <v>656</v>
      </c>
      <c r="B368" s="1093">
        <v>0.17</v>
      </c>
      <c r="C368" s="1105">
        <v>1.6000000000000001E-3</v>
      </c>
      <c r="D368" s="1105">
        <v>4.7000000000000002E-3</v>
      </c>
      <c r="E368" s="881" t="s">
        <v>269</v>
      </c>
      <c r="F368" s="775"/>
      <c r="G368" s="775"/>
      <c r="H368" s="775"/>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row>
    <row r="369" spans="1:30">
      <c r="A369" s="640" t="s">
        <v>272</v>
      </c>
      <c r="B369" s="1094">
        <v>2.1000000000000001E-2</v>
      </c>
      <c r="C369" s="877">
        <v>1.6000000000000001E-3</v>
      </c>
      <c r="D369" s="877">
        <v>5.0000000000000001E-4</v>
      </c>
      <c r="E369" s="884" t="s">
        <v>269</v>
      </c>
      <c r="F369" s="775"/>
      <c r="G369" s="775"/>
      <c r="H369" s="775"/>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row>
    <row r="370" spans="1:30" ht="12.75" customHeight="1">
      <c r="A370" s="640" t="s">
        <v>206</v>
      </c>
      <c r="B370" s="1094">
        <v>4.3999999999999997E-2</v>
      </c>
      <c r="C370" s="877">
        <v>2.5399999999999999E-2</v>
      </c>
      <c r="D370" s="877">
        <v>1.1000000000000001E-3</v>
      </c>
      <c r="E370" s="884" t="s">
        <v>269</v>
      </c>
      <c r="F370" s="775"/>
      <c r="G370" s="775"/>
      <c r="H370" s="775"/>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row>
    <row r="371" spans="1:30" ht="13.5" thickBot="1">
      <c r="A371" s="653" t="s">
        <v>205</v>
      </c>
      <c r="B371" s="1095">
        <v>0.69799999999999995</v>
      </c>
      <c r="C371" s="1106">
        <v>0</v>
      </c>
      <c r="D371" s="1078">
        <v>2.1499999999999998E-2</v>
      </c>
      <c r="E371" s="883" t="s">
        <v>269</v>
      </c>
      <c r="F371" s="775"/>
      <c r="G371" s="775"/>
      <c r="H371" s="775"/>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row>
    <row r="372" spans="1:30">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row>
    <row r="373" spans="1:30" ht="13.5" thickBot="1">
      <c r="A373" s="267" t="s">
        <v>1298</v>
      </c>
      <c r="B373" s="268"/>
      <c r="C373" s="268"/>
      <c r="D373" s="268"/>
      <c r="E373" s="268"/>
      <c r="F373" s="268"/>
      <c r="G373" s="268"/>
      <c r="H373" s="268"/>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row>
    <row r="374" spans="1:30" ht="13.5" thickBot="1">
      <c r="A374" s="209" t="s">
        <v>137</v>
      </c>
      <c r="B374" s="210" t="s">
        <v>745</v>
      </c>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row>
    <row r="375" spans="1:30">
      <c r="A375" s="987" t="s">
        <v>34</v>
      </c>
      <c r="B375" s="988">
        <v>3.5000000000000003E-2</v>
      </c>
      <c r="C375" s="707"/>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row>
    <row r="376" spans="1:30" ht="13.5" thickBot="1">
      <c r="A376" s="989" t="s">
        <v>199</v>
      </c>
      <c r="B376" s="990">
        <v>2.5000000000000001E-2</v>
      </c>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row>
    <row r="377" spans="1:30">
      <c r="A377" s="349" t="s">
        <v>283</v>
      </c>
      <c r="B377" s="349"/>
      <c r="C377" s="349"/>
      <c r="D377" s="349"/>
      <c r="E377" s="349"/>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row>
    <row r="378" spans="1:30">
      <c r="A378" s="1308" t="s">
        <v>1286</v>
      </c>
      <c r="B378" s="1308"/>
      <c r="C378" s="1308"/>
      <c r="D378" s="1308"/>
      <c r="E378" s="1308"/>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row>
    <row r="379" spans="1:30">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row>
    <row r="380" spans="1:30" ht="13.5" thickBot="1">
      <c r="A380" s="267" t="s">
        <v>1114</v>
      </c>
      <c r="B380" s="268"/>
      <c r="C380" s="268"/>
      <c r="D380" s="268"/>
      <c r="E380" s="268"/>
      <c r="F380" s="268"/>
      <c r="G380" s="268"/>
      <c r="H380" s="268"/>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row>
    <row r="381" spans="1:30" ht="15" thickBot="1">
      <c r="A381" s="691"/>
      <c r="C381" s="1304" t="s">
        <v>1115</v>
      </c>
      <c r="D381" s="1305"/>
      <c r="E381" s="1305"/>
      <c r="F381" s="1305"/>
      <c r="G381" s="1305"/>
      <c r="H381" s="1306"/>
      <c r="I381" s="714"/>
      <c r="J381" s="714"/>
      <c r="K381" s="162"/>
      <c r="L381" s="162"/>
      <c r="M381" s="162"/>
      <c r="N381" s="162"/>
      <c r="O381" s="162"/>
      <c r="P381" s="162"/>
      <c r="Q381" s="162"/>
      <c r="R381" s="162"/>
      <c r="S381" s="162"/>
      <c r="T381" s="162"/>
      <c r="U381" s="162"/>
      <c r="V381" s="162"/>
      <c r="W381" s="162"/>
      <c r="X381" s="162"/>
      <c r="Y381" s="162"/>
      <c r="Z381" s="162"/>
      <c r="AA381" s="162"/>
      <c r="AB381" s="162"/>
      <c r="AC381" s="162"/>
      <c r="AD381" s="162"/>
    </row>
    <row r="382" spans="1:30" ht="51.75" thickBot="1">
      <c r="A382" s="692" t="s">
        <v>1249</v>
      </c>
      <c r="B382" s="692" t="s">
        <v>1250</v>
      </c>
      <c r="C382" s="689" t="s">
        <v>1111</v>
      </c>
      <c r="D382" s="689" t="s">
        <v>1112</v>
      </c>
      <c r="E382" s="689" t="s">
        <v>158</v>
      </c>
      <c r="F382" s="689" t="s">
        <v>1113</v>
      </c>
      <c r="G382" s="689" t="s">
        <v>1109</v>
      </c>
      <c r="H382" s="690" t="s">
        <v>1110</v>
      </c>
      <c r="I382" s="715"/>
      <c r="J382" s="715"/>
      <c r="K382" s="162"/>
      <c r="L382" s="162"/>
      <c r="M382" s="162"/>
      <c r="N382" s="162"/>
      <c r="O382" s="162"/>
      <c r="P382" s="162"/>
      <c r="Q382" s="162"/>
      <c r="R382" s="162"/>
      <c r="S382" s="162"/>
      <c r="T382" s="162"/>
      <c r="U382" s="162"/>
      <c r="V382" s="162"/>
      <c r="W382" s="162"/>
      <c r="X382" s="162"/>
      <c r="Y382" s="162"/>
      <c r="Z382" s="162"/>
      <c r="AA382" s="162"/>
      <c r="AB382" s="162"/>
      <c r="AC382" s="162"/>
      <c r="AD382" s="162"/>
    </row>
    <row r="383" spans="1:30">
      <c r="A383" s="693" t="s">
        <v>1050</v>
      </c>
      <c r="B383" s="693" t="s">
        <v>1050</v>
      </c>
      <c r="C383" s="908">
        <v>0.06</v>
      </c>
      <c r="D383" s="908">
        <v>0.02</v>
      </c>
      <c r="E383" s="908">
        <v>0.01</v>
      </c>
      <c r="F383" s="909" t="s">
        <v>1116</v>
      </c>
      <c r="G383" s="909" t="s">
        <v>1116</v>
      </c>
      <c r="H383" s="910" t="s">
        <v>1116</v>
      </c>
      <c r="I383" s="920" t="s">
        <v>1299</v>
      </c>
      <c r="J383" s="715"/>
      <c r="K383" s="162"/>
      <c r="L383" s="162"/>
      <c r="M383" s="162"/>
      <c r="N383" s="162"/>
      <c r="O383" s="162"/>
      <c r="P383" s="162"/>
      <c r="Q383" s="162"/>
      <c r="R383" s="162"/>
      <c r="S383" s="162"/>
      <c r="T383" s="162"/>
      <c r="U383" s="162"/>
      <c r="V383" s="162"/>
      <c r="W383" s="162"/>
      <c r="X383" s="162"/>
      <c r="Y383" s="162"/>
      <c r="Z383" s="162"/>
      <c r="AA383" s="162"/>
      <c r="AB383" s="162"/>
      <c r="AC383" s="162"/>
      <c r="AD383" s="162"/>
    </row>
    <row r="384" spans="1:30">
      <c r="A384" s="694" t="s">
        <v>1051</v>
      </c>
      <c r="B384" s="694" t="s">
        <v>1051</v>
      </c>
      <c r="C384" s="911">
        <v>0.04</v>
      </c>
      <c r="D384" s="911">
        <v>0.02</v>
      </c>
      <c r="E384" s="911">
        <v>0.01</v>
      </c>
      <c r="F384" s="912" t="s">
        <v>1116</v>
      </c>
      <c r="G384" s="912" t="s">
        <v>1116</v>
      </c>
      <c r="H384" s="913" t="s">
        <v>1116</v>
      </c>
      <c r="I384" s="715"/>
      <c r="J384" s="715"/>
      <c r="K384" s="162"/>
      <c r="L384" s="162"/>
      <c r="M384" s="162"/>
      <c r="N384" s="162"/>
      <c r="O384" s="162"/>
      <c r="P384" s="162"/>
      <c r="Q384" s="162"/>
      <c r="R384" s="162"/>
      <c r="S384" s="162"/>
      <c r="T384" s="162"/>
      <c r="U384" s="162"/>
      <c r="V384" s="162"/>
      <c r="W384" s="162"/>
      <c r="X384" s="162"/>
      <c r="Y384" s="162"/>
      <c r="Z384" s="162"/>
      <c r="AA384" s="162"/>
      <c r="AB384" s="162"/>
      <c r="AC384" s="162"/>
      <c r="AD384" s="162"/>
    </row>
    <row r="385" spans="1:30">
      <c r="A385" s="694" t="s">
        <v>1052</v>
      </c>
      <c r="B385" s="694" t="s">
        <v>1052</v>
      </c>
      <c r="C385" s="911">
        <v>0.32</v>
      </c>
      <c r="D385" s="911">
        <v>0.02</v>
      </c>
      <c r="E385" s="911">
        <v>0.01</v>
      </c>
      <c r="F385" s="912" t="s">
        <v>1116</v>
      </c>
      <c r="G385" s="912" t="s">
        <v>1116</v>
      </c>
      <c r="H385" s="913" t="s">
        <v>1116</v>
      </c>
      <c r="I385" s="715"/>
      <c r="J385" s="715"/>
      <c r="K385" s="162"/>
      <c r="L385" s="162"/>
      <c r="M385" s="162"/>
      <c r="N385" s="162"/>
      <c r="O385" s="162"/>
      <c r="P385" s="162"/>
      <c r="Q385" s="162"/>
      <c r="R385" s="162"/>
      <c r="S385" s="162"/>
      <c r="T385" s="162"/>
      <c r="U385" s="162"/>
      <c r="V385" s="162"/>
      <c r="W385" s="162"/>
      <c r="X385" s="162"/>
      <c r="Y385" s="162"/>
      <c r="Z385" s="162"/>
      <c r="AA385" s="162"/>
      <c r="AB385" s="162"/>
      <c r="AC385" s="162"/>
      <c r="AD385" s="162"/>
    </row>
    <row r="386" spans="1:30">
      <c r="A386" s="694" t="s">
        <v>1053</v>
      </c>
      <c r="B386" s="694" t="s">
        <v>1053</v>
      </c>
      <c r="C386" s="911">
        <v>0.18</v>
      </c>
      <c r="D386" s="911">
        <v>0.02</v>
      </c>
      <c r="E386" s="911">
        <v>0.01</v>
      </c>
      <c r="F386" s="912" t="s">
        <v>1116</v>
      </c>
      <c r="G386" s="912" t="s">
        <v>1116</v>
      </c>
      <c r="H386" s="913" t="s">
        <v>1116</v>
      </c>
      <c r="I386" s="715"/>
      <c r="J386" s="715"/>
      <c r="K386" s="162"/>
      <c r="L386" s="162"/>
      <c r="M386" s="162"/>
      <c r="N386" s="162"/>
      <c r="O386" s="162"/>
      <c r="P386" s="162"/>
      <c r="Q386" s="162"/>
      <c r="R386" s="162"/>
      <c r="S386" s="162"/>
      <c r="T386" s="162"/>
      <c r="U386" s="162"/>
      <c r="V386" s="162"/>
      <c r="W386" s="162"/>
      <c r="X386" s="162"/>
      <c r="Y386" s="162"/>
      <c r="Z386" s="162"/>
      <c r="AA386" s="162"/>
      <c r="AB386" s="162"/>
      <c r="AC386" s="162"/>
      <c r="AD386" s="162"/>
    </row>
    <row r="387" spans="1:30">
      <c r="A387" s="694" t="s">
        <v>1054</v>
      </c>
      <c r="B387" s="694" t="s">
        <v>1054</v>
      </c>
      <c r="C387" s="911">
        <v>0.05</v>
      </c>
      <c r="D387" s="911">
        <v>0.02</v>
      </c>
      <c r="E387" s="911">
        <v>0.01</v>
      </c>
      <c r="F387" s="912" t="s">
        <v>1116</v>
      </c>
      <c r="G387" s="912" t="s">
        <v>1116</v>
      </c>
      <c r="H387" s="913" t="s">
        <v>1116</v>
      </c>
      <c r="I387" s="715"/>
      <c r="J387" s="715"/>
      <c r="K387" s="162"/>
      <c r="L387" s="162"/>
      <c r="M387" s="162"/>
      <c r="N387" s="162"/>
      <c r="O387" s="162"/>
      <c r="P387" s="162"/>
      <c r="Q387" s="162"/>
      <c r="R387" s="162"/>
      <c r="S387" s="162"/>
      <c r="T387" s="162"/>
      <c r="U387" s="162"/>
      <c r="V387" s="162"/>
      <c r="W387" s="162"/>
      <c r="X387" s="162"/>
      <c r="Y387" s="162"/>
      <c r="Z387" s="162"/>
      <c r="AA387" s="162"/>
      <c r="AB387" s="162"/>
      <c r="AC387" s="162"/>
      <c r="AD387" s="162"/>
    </row>
    <row r="388" spans="1:30">
      <c r="A388" s="694" t="s">
        <v>1055</v>
      </c>
      <c r="B388" s="694" t="s">
        <v>1055</v>
      </c>
      <c r="C388" s="911">
        <v>0.21</v>
      </c>
      <c r="D388" s="911">
        <v>0.02</v>
      </c>
      <c r="E388" s="911">
        <v>2.8</v>
      </c>
      <c r="F388" s="912" t="s">
        <v>1116</v>
      </c>
      <c r="G388" s="912" t="s">
        <v>1116</v>
      </c>
      <c r="H388" s="913" t="s">
        <v>1116</v>
      </c>
      <c r="I388" s="715"/>
      <c r="J388" s="715"/>
      <c r="K388" s="162"/>
      <c r="L388" s="162"/>
      <c r="M388" s="162"/>
      <c r="N388" s="162"/>
      <c r="O388" s="162"/>
      <c r="P388" s="162"/>
      <c r="Q388" s="162"/>
      <c r="R388" s="162"/>
      <c r="S388" s="162"/>
      <c r="T388" s="162"/>
      <c r="U388" s="162"/>
      <c r="V388" s="162"/>
      <c r="W388" s="162"/>
      <c r="X388" s="162"/>
      <c r="Y388" s="162"/>
      <c r="Z388" s="162"/>
      <c r="AA388" s="162"/>
      <c r="AB388" s="162"/>
      <c r="AC388" s="162"/>
      <c r="AD388" s="162"/>
    </row>
    <row r="389" spans="1:30">
      <c r="A389" s="694" t="s">
        <v>1056</v>
      </c>
      <c r="B389" s="694" t="s">
        <v>1056</v>
      </c>
      <c r="C389" s="911" t="s">
        <v>1116</v>
      </c>
      <c r="D389" s="911">
        <v>0.02</v>
      </c>
      <c r="E389" s="911">
        <v>2.8</v>
      </c>
      <c r="F389" s="912" t="s">
        <v>1116</v>
      </c>
      <c r="G389" s="912" t="s">
        <v>1116</v>
      </c>
      <c r="H389" s="913" t="s">
        <v>1116</v>
      </c>
      <c r="I389" s="715"/>
      <c r="J389" s="715"/>
      <c r="K389" s="162"/>
      <c r="L389" s="162"/>
      <c r="M389" s="162"/>
      <c r="N389" s="162"/>
      <c r="O389" s="162"/>
      <c r="P389" s="162"/>
      <c r="Q389" s="162"/>
      <c r="R389" s="162"/>
      <c r="S389" s="162"/>
      <c r="T389" s="162"/>
      <c r="U389" s="162"/>
      <c r="V389" s="162"/>
      <c r="W389" s="162"/>
      <c r="X389" s="162"/>
      <c r="Y389" s="162"/>
      <c r="Z389" s="162"/>
      <c r="AA389" s="162"/>
      <c r="AB389" s="162"/>
      <c r="AC389" s="162"/>
      <c r="AD389" s="162"/>
    </row>
    <row r="390" spans="1:30">
      <c r="A390" s="694" t="s">
        <v>1057</v>
      </c>
      <c r="B390" s="694" t="s">
        <v>1057</v>
      </c>
      <c r="C390" s="911">
        <v>0.23</v>
      </c>
      <c r="D390" s="911">
        <v>0.02</v>
      </c>
      <c r="E390" s="911">
        <v>2.0499999999999998</v>
      </c>
      <c r="F390" s="912" t="s">
        <v>1116</v>
      </c>
      <c r="G390" s="912" t="s">
        <v>1116</v>
      </c>
      <c r="H390" s="913" t="s">
        <v>1116</v>
      </c>
      <c r="I390" s="715"/>
      <c r="J390" s="715"/>
      <c r="K390" s="162"/>
      <c r="L390" s="162"/>
      <c r="M390" s="162"/>
      <c r="N390" s="162"/>
      <c r="O390" s="162"/>
      <c r="P390" s="162"/>
      <c r="Q390" s="162"/>
      <c r="R390" s="162"/>
      <c r="S390" s="162"/>
      <c r="T390" s="162"/>
      <c r="U390" s="162"/>
      <c r="V390" s="162"/>
      <c r="W390" s="162"/>
      <c r="X390" s="162"/>
      <c r="Y390" s="162"/>
      <c r="Z390" s="162"/>
      <c r="AA390" s="162"/>
      <c r="AB390" s="162"/>
      <c r="AC390" s="162"/>
      <c r="AD390" s="162"/>
    </row>
    <row r="391" spans="1:30">
      <c r="A391" s="694" t="s">
        <v>1058</v>
      </c>
      <c r="B391" s="694" t="s">
        <v>1058</v>
      </c>
      <c r="C391" s="911" t="s">
        <v>1116</v>
      </c>
      <c r="D391" s="911">
        <v>0.02</v>
      </c>
      <c r="E391" s="911">
        <v>2.8</v>
      </c>
      <c r="F391" s="912" t="s">
        <v>1116</v>
      </c>
      <c r="G391" s="912" t="s">
        <v>1116</v>
      </c>
      <c r="H391" s="913" t="s">
        <v>1116</v>
      </c>
      <c r="I391" s="715"/>
      <c r="J391" s="715"/>
      <c r="K391" s="162"/>
      <c r="L391" s="162"/>
      <c r="M391" s="162"/>
      <c r="N391" s="162"/>
      <c r="O391" s="162"/>
      <c r="P391" s="162"/>
      <c r="Q391" s="162"/>
      <c r="R391" s="162"/>
      <c r="S391" s="162"/>
      <c r="T391" s="162"/>
      <c r="U391" s="162"/>
      <c r="V391" s="162"/>
      <c r="W391" s="162"/>
      <c r="X391" s="162"/>
      <c r="Y391" s="162"/>
      <c r="Z391" s="162"/>
      <c r="AA391" s="162"/>
      <c r="AB391" s="162"/>
      <c r="AC391" s="162"/>
      <c r="AD391" s="162"/>
    </row>
    <row r="392" spans="1:30">
      <c r="A392" s="694" t="s">
        <v>1059</v>
      </c>
      <c r="B392" s="694" t="s">
        <v>1059</v>
      </c>
      <c r="C392" s="911" t="s">
        <v>1116</v>
      </c>
      <c r="D392" s="911">
        <v>0.02</v>
      </c>
      <c r="E392" s="911">
        <v>2.8</v>
      </c>
      <c r="F392" s="912" t="s">
        <v>1116</v>
      </c>
      <c r="G392" s="912" t="s">
        <v>1116</v>
      </c>
      <c r="H392" s="913" t="s">
        <v>1116</v>
      </c>
      <c r="I392" s="715"/>
      <c r="J392" s="715"/>
      <c r="K392" s="162"/>
      <c r="L392" s="162"/>
      <c r="M392" s="162"/>
      <c r="N392" s="162"/>
      <c r="O392" s="162"/>
      <c r="P392" s="162"/>
      <c r="Q392" s="162"/>
      <c r="R392" s="162"/>
      <c r="S392" s="162"/>
      <c r="T392" s="162"/>
      <c r="U392" s="162"/>
      <c r="V392" s="162"/>
      <c r="W392" s="162"/>
      <c r="X392" s="162"/>
      <c r="Y392" s="162"/>
      <c r="Z392" s="162"/>
      <c r="AA392" s="162"/>
      <c r="AB392" s="162"/>
      <c r="AC392" s="162"/>
      <c r="AD392" s="162"/>
    </row>
    <row r="393" spans="1:30">
      <c r="A393" s="694" t="s">
        <v>1060</v>
      </c>
      <c r="B393" s="694" t="s">
        <v>1060</v>
      </c>
      <c r="C393" s="911" t="s">
        <v>1116</v>
      </c>
      <c r="D393" s="911">
        <v>0.02</v>
      </c>
      <c r="E393" s="911">
        <v>3.02</v>
      </c>
      <c r="F393" s="912" t="s">
        <v>1116</v>
      </c>
      <c r="G393" s="912" t="s">
        <v>1116</v>
      </c>
      <c r="H393" s="913" t="s">
        <v>1116</v>
      </c>
      <c r="I393" s="715"/>
      <c r="J393" s="715"/>
      <c r="K393" s="162"/>
      <c r="L393" s="162"/>
      <c r="M393" s="162"/>
      <c r="N393" s="162"/>
      <c r="O393" s="162"/>
      <c r="P393" s="162"/>
      <c r="Q393" s="162"/>
      <c r="R393" s="162"/>
      <c r="S393" s="162"/>
      <c r="T393" s="162"/>
      <c r="U393" s="162"/>
      <c r="V393" s="162"/>
      <c r="W393" s="162"/>
      <c r="X393" s="162"/>
      <c r="Y393" s="162"/>
      <c r="Z393" s="162"/>
      <c r="AA393" s="162"/>
      <c r="AB393" s="162"/>
      <c r="AC393" s="162"/>
      <c r="AD393" s="162"/>
    </row>
    <row r="394" spans="1:30">
      <c r="A394" s="694" t="s">
        <v>1061</v>
      </c>
      <c r="B394" s="694" t="s">
        <v>1061</v>
      </c>
      <c r="C394" s="911" t="s">
        <v>1116</v>
      </c>
      <c r="D394" s="911">
        <v>0.02</v>
      </c>
      <c r="E394" s="911">
        <v>1.26</v>
      </c>
      <c r="F394" s="912" t="s">
        <v>1116</v>
      </c>
      <c r="G394" s="912" t="s">
        <v>1116</v>
      </c>
      <c r="H394" s="913" t="s">
        <v>1116</v>
      </c>
      <c r="I394" s="715"/>
      <c r="J394" s="715"/>
      <c r="K394" s="162"/>
      <c r="L394" s="162"/>
      <c r="M394" s="162"/>
      <c r="N394" s="162"/>
      <c r="O394" s="162"/>
      <c r="P394" s="162"/>
      <c r="Q394" s="162"/>
      <c r="R394" s="162"/>
      <c r="S394" s="162"/>
      <c r="T394" s="162"/>
      <c r="U394" s="162"/>
      <c r="V394" s="162"/>
      <c r="W394" s="162"/>
      <c r="X394" s="162"/>
      <c r="Y394" s="162"/>
      <c r="Z394" s="162"/>
      <c r="AA394" s="162"/>
      <c r="AB394" s="162"/>
      <c r="AC394" s="162"/>
      <c r="AD394" s="162"/>
    </row>
    <row r="395" spans="1:30">
      <c r="A395" s="694" t="s">
        <v>1062</v>
      </c>
      <c r="B395" s="694" t="s">
        <v>1062</v>
      </c>
      <c r="C395" s="911" t="s">
        <v>1116</v>
      </c>
      <c r="D395" s="911">
        <v>0.02</v>
      </c>
      <c r="E395" s="911">
        <v>0.01</v>
      </c>
      <c r="F395" s="914">
        <v>0.17</v>
      </c>
      <c r="G395" s="912" t="s">
        <v>1116</v>
      </c>
      <c r="H395" s="913" t="s">
        <v>1116</v>
      </c>
      <c r="I395" s="715"/>
      <c r="J395" s="715"/>
      <c r="K395" s="162"/>
      <c r="L395" s="162"/>
      <c r="M395" s="162"/>
      <c r="N395" s="162"/>
      <c r="O395" s="162"/>
      <c r="P395" s="162"/>
      <c r="Q395" s="162"/>
      <c r="R395" s="162"/>
      <c r="S395" s="162"/>
      <c r="T395" s="162"/>
      <c r="U395" s="162"/>
      <c r="V395" s="162"/>
      <c r="W395" s="162"/>
      <c r="X395" s="162"/>
      <c r="Y395" s="162"/>
      <c r="Z395" s="162"/>
      <c r="AA395" s="162"/>
      <c r="AB395" s="162"/>
      <c r="AC395" s="162"/>
      <c r="AD395" s="162"/>
    </row>
    <row r="396" spans="1:30">
      <c r="A396" s="694" t="s">
        <v>1063</v>
      </c>
      <c r="B396" s="694" t="s">
        <v>1063</v>
      </c>
      <c r="C396" s="911">
        <v>0.11</v>
      </c>
      <c r="D396" s="911">
        <v>0.9</v>
      </c>
      <c r="E396" s="911">
        <v>0.05</v>
      </c>
      <c r="F396" s="914" t="s">
        <v>1116</v>
      </c>
      <c r="G396" s="912" t="s">
        <v>1116</v>
      </c>
      <c r="H396" s="913" t="s">
        <v>1116</v>
      </c>
      <c r="I396" s="715"/>
      <c r="J396" s="715"/>
      <c r="K396" s="162"/>
      <c r="L396" s="162"/>
      <c r="M396" s="162"/>
      <c r="N396" s="162"/>
      <c r="O396" s="162"/>
      <c r="P396" s="162"/>
      <c r="Q396" s="162"/>
      <c r="R396" s="162"/>
      <c r="S396" s="162"/>
      <c r="T396" s="162"/>
      <c r="U396" s="162"/>
      <c r="V396" s="162"/>
      <c r="W396" s="162"/>
      <c r="X396" s="162"/>
      <c r="Y396" s="162"/>
      <c r="Z396" s="162"/>
      <c r="AA396" s="162"/>
      <c r="AB396" s="162"/>
      <c r="AC396" s="162"/>
      <c r="AD396" s="162"/>
    </row>
    <row r="397" spans="1:30">
      <c r="A397" s="694" t="s">
        <v>1064</v>
      </c>
      <c r="B397" s="767" t="s">
        <v>1173</v>
      </c>
      <c r="C397" s="911">
        <v>0.02</v>
      </c>
      <c r="D397" s="911">
        <v>0.42</v>
      </c>
      <c r="E397" s="911">
        <v>0.05</v>
      </c>
      <c r="F397" s="914" t="s">
        <v>1116</v>
      </c>
      <c r="G397" s="912" t="s">
        <v>1116</v>
      </c>
      <c r="H397" s="913" t="s">
        <v>1116</v>
      </c>
      <c r="I397" s="715"/>
      <c r="J397" s="715"/>
      <c r="K397" s="162"/>
      <c r="L397" s="162"/>
      <c r="M397" s="162"/>
      <c r="N397" s="162"/>
      <c r="O397" s="162"/>
      <c r="P397" s="162"/>
      <c r="Q397" s="162"/>
      <c r="R397" s="162"/>
      <c r="S397" s="162"/>
      <c r="T397" s="162"/>
      <c r="U397" s="162"/>
      <c r="V397" s="162"/>
      <c r="W397" s="162"/>
      <c r="X397" s="162"/>
      <c r="Y397" s="162"/>
      <c r="Z397" s="162"/>
      <c r="AA397" s="162"/>
      <c r="AB397" s="162"/>
      <c r="AC397" s="162"/>
      <c r="AD397" s="162"/>
    </row>
    <row r="398" spans="1:30">
      <c r="A398" s="694" t="s">
        <v>1065</v>
      </c>
      <c r="B398" s="694" t="s">
        <v>1065</v>
      </c>
      <c r="C398" s="911">
        <v>0.02</v>
      </c>
      <c r="D398" s="911">
        <v>0.35</v>
      </c>
      <c r="E398" s="911">
        <v>0.05</v>
      </c>
      <c r="F398" s="914" t="s">
        <v>1116</v>
      </c>
      <c r="G398" s="912" t="s">
        <v>1116</v>
      </c>
      <c r="H398" s="913" t="s">
        <v>1116</v>
      </c>
      <c r="I398" s="715"/>
      <c r="J398" s="715"/>
      <c r="K398" s="162"/>
      <c r="L398" s="162"/>
      <c r="M398" s="162"/>
      <c r="N398" s="162"/>
      <c r="O398" s="162"/>
      <c r="P398" s="162"/>
      <c r="Q398" s="162"/>
      <c r="R398" s="162"/>
      <c r="S398" s="162"/>
      <c r="T398" s="162"/>
      <c r="U398" s="162"/>
      <c r="V398" s="162"/>
      <c r="W398" s="162"/>
      <c r="X398" s="162"/>
      <c r="Y398" s="162"/>
      <c r="Z398" s="162"/>
      <c r="AA398" s="162"/>
      <c r="AB398" s="162"/>
      <c r="AC398" s="162"/>
      <c r="AD398" s="162"/>
    </row>
    <row r="399" spans="1:30">
      <c r="A399" s="694" t="s">
        <v>1066</v>
      </c>
      <c r="B399" s="694" t="s">
        <v>1066</v>
      </c>
      <c r="C399" s="911">
        <v>0.02</v>
      </c>
      <c r="D399" s="911">
        <v>1.25</v>
      </c>
      <c r="E399" s="911">
        <v>0.05</v>
      </c>
      <c r="F399" s="914" t="s">
        <v>1116</v>
      </c>
      <c r="G399" s="912" t="s">
        <v>1116</v>
      </c>
      <c r="H399" s="913" t="s">
        <v>1116</v>
      </c>
      <c r="I399" s="715"/>
      <c r="J399" s="715"/>
      <c r="K399" s="162"/>
      <c r="L399" s="162"/>
      <c r="M399" s="162"/>
      <c r="N399" s="162"/>
      <c r="O399" s="162"/>
      <c r="P399" s="162"/>
      <c r="Q399" s="162"/>
      <c r="R399" s="162"/>
      <c r="S399" s="162"/>
      <c r="T399" s="162"/>
      <c r="U399" s="162"/>
      <c r="V399" s="162"/>
      <c r="W399" s="162"/>
      <c r="X399" s="162"/>
      <c r="Y399" s="162"/>
      <c r="Z399" s="162"/>
      <c r="AA399" s="162"/>
      <c r="AB399" s="162"/>
      <c r="AC399" s="162"/>
      <c r="AD399" s="162"/>
    </row>
    <row r="400" spans="1:30">
      <c r="A400" s="694" t="s">
        <v>1067</v>
      </c>
      <c r="B400" s="694" t="s">
        <v>1067</v>
      </c>
      <c r="C400" s="911">
        <v>0.04</v>
      </c>
      <c r="D400" s="911">
        <v>0.35</v>
      </c>
      <c r="E400" s="911">
        <v>0.05</v>
      </c>
      <c r="F400" s="914" t="s">
        <v>1116</v>
      </c>
      <c r="G400" s="912" t="s">
        <v>1116</v>
      </c>
      <c r="H400" s="913" t="s">
        <v>1116</v>
      </c>
      <c r="I400" s="715"/>
      <c r="J400" s="715"/>
      <c r="K400" s="162"/>
      <c r="L400" s="162"/>
      <c r="M400" s="162"/>
      <c r="N400" s="162"/>
      <c r="O400" s="162"/>
      <c r="P400" s="162"/>
      <c r="Q400" s="162"/>
      <c r="R400" s="162"/>
      <c r="S400" s="162"/>
      <c r="T400" s="162"/>
      <c r="U400" s="162"/>
      <c r="V400" s="162"/>
      <c r="W400" s="162"/>
      <c r="X400" s="162"/>
      <c r="Y400" s="162"/>
      <c r="Z400" s="162"/>
      <c r="AA400" s="162"/>
      <c r="AB400" s="162"/>
      <c r="AC400" s="162"/>
      <c r="AD400" s="162"/>
    </row>
    <row r="401" spans="1:30">
      <c r="A401" s="694" t="s">
        <v>1068</v>
      </c>
      <c r="B401" s="694" t="s">
        <v>1068</v>
      </c>
      <c r="C401" s="911">
        <v>0.04</v>
      </c>
      <c r="D401" s="911">
        <v>1.25</v>
      </c>
      <c r="E401" s="911">
        <v>0.05</v>
      </c>
      <c r="F401" s="914" t="s">
        <v>1116</v>
      </c>
      <c r="G401" s="912" t="s">
        <v>1116</v>
      </c>
      <c r="H401" s="913" t="s">
        <v>1116</v>
      </c>
      <c r="I401" s="715"/>
      <c r="J401" s="715"/>
      <c r="K401" s="162"/>
      <c r="L401" s="162"/>
      <c r="M401" s="162"/>
      <c r="N401" s="162"/>
      <c r="O401" s="162"/>
      <c r="P401" s="162"/>
      <c r="Q401" s="162"/>
      <c r="R401" s="162"/>
      <c r="S401" s="162"/>
      <c r="T401" s="162"/>
      <c r="U401" s="162"/>
      <c r="V401" s="162"/>
      <c r="W401" s="162"/>
      <c r="X401" s="162"/>
      <c r="Y401" s="162"/>
      <c r="Z401" s="162"/>
      <c r="AA401" s="162"/>
      <c r="AB401" s="162"/>
      <c r="AC401" s="162"/>
      <c r="AD401" s="162"/>
    </row>
    <row r="402" spans="1:30">
      <c r="A402" s="694" t="s">
        <v>1069</v>
      </c>
      <c r="B402" s="694" t="s">
        <v>1069</v>
      </c>
      <c r="C402" s="911">
        <v>0.09</v>
      </c>
      <c r="D402" s="911">
        <v>0.17</v>
      </c>
      <c r="E402" s="911">
        <v>0.05</v>
      </c>
      <c r="F402" s="914" t="s">
        <v>1116</v>
      </c>
      <c r="G402" s="912" t="s">
        <v>1116</v>
      </c>
      <c r="H402" s="913" t="s">
        <v>1116</v>
      </c>
      <c r="I402" s="715"/>
      <c r="J402" s="715"/>
      <c r="K402" s="162"/>
      <c r="L402" s="162"/>
      <c r="M402" s="162"/>
      <c r="N402" s="162"/>
      <c r="O402" s="162"/>
      <c r="P402" s="162"/>
      <c r="Q402" s="162"/>
      <c r="R402" s="162"/>
      <c r="S402" s="162"/>
      <c r="T402" s="162"/>
      <c r="U402" s="162"/>
      <c r="V402" s="162"/>
      <c r="W402" s="162"/>
      <c r="X402" s="162"/>
      <c r="Y402" s="162"/>
      <c r="Z402" s="162"/>
      <c r="AA402" s="162"/>
      <c r="AB402" s="162"/>
      <c r="AC402" s="162"/>
      <c r="AD402" s="162"/>
    </row>
    <row r="403" spans="1:30">
      <c r="A403" s="694" t="s">
        <v>1070</v>
      </c>
      <c r="B403" s="767" t="s">
        <v>1172</v>
      </c>
      <c r="C403" s="911">
        <v>0.15</v>
      </c>
      <c r="D403" s="911">
        <v>7.0000000000000007E-2</v>
      </c>
      <c r="E403" s="911">
        <v>0.05</v>
      </c>
      <c r="F403" s="914" t="s">
        <v>1116</v>
      </c>
      <c r="G403" s="912" t="s">
        <v>1116</v>
      </c>
      <c r="H403" s="913" t="s">
        <v>1116</v>
      </c>
      <c r="I403" s="715"/>
      <c r="J403" s="715"/>
      <c r="K403" s="162"/>
      <c r="L403" s="162"/>
      <c r="M403" s="162"/>
      <c r="N403" s="162"/>
      <c r="O403" s="162"/>
      <c r="P403" s="162"/>
      <c r="Q403" s="162"/>
      <c r="R403" s="162"/>
      <c r="S403" s="162"/>
      <c r="T403" s="162"/>
      <c r="U403" s="162"/>
      <c r="V403" s="162"/>
      <c r="W403" s="162"/>
      <c r="X403" s="162"/>
      <c r="Y403" s="162"/>
      <c r="Z403" s="162"/>
      <c r="AA403" s="162"/>
      <c r="AB403" s="162"/>
      <c r="AC403" s="162"/>
      <c r="AD403" s="162"/>
    </row>
    <row r="404" spans="1:30">
      <c r="A404" s="694" t="s">
        <v>1071</v>
      </c>
      <c r="B404" s="767" t="s">
        <v>1171</v>
      </c>
      <c r="C404" s="911" t="s">
        <v>1116</v>
      </c>
      <c r="D404" s="911">
        <v>0.57999999999999996</v>
      </c>
      <c r="E404" s="911">
        <v>0.05</v>
      </c>
      <c r="F404" s="914">
        <v>0.15</v>
      </c>
      <c r="G404" s="914">
        <v>0.14000000000000001</v>
      </c>
      <c r="H404" s="915">
        <v>0.11</v>
      </c>
      <c r="I404" s="715"/>
      <c r="J404" s="715"/>
      <c r="K404" s="162"/>
      <c r="L404" s="162"/>
      <c r="M404" s="162"/>
      <c r="N404" s="162"/>
      <c r="O404" s="162"/>
      <c r="P404" s="162"/>
      <c r="Q404" s="162"/>
      <c r="R404" s="162"/>
      <c r="S404" s="162"/>
      <c r="T404" s="162"/>
      <c r="U404" s="162"/>
      <c r="V404" s="162"/>
      <c r="W404" s="162"/>
      <c r="X404" s="162"/>
      <c r="Y404" s="162"/>
      <c r="Z404" s="162"/>
      <c r="AA404" s="162"/>
      <c r="AB404" s="162"/>
      <c r="AC404" s="162"/>
      <c r="AD404" s="162"/>
    </row>
    <row r="405" spans="1:30">
      <c r="A405" s="694" t="s">
        <v>1072</v>
      </c>
      <c r="B405" s="767" t="s">
        <v>1166</v>
      </c>
      <c r="C405" s="911" t="s">
        <v>1116</v>
      </c>
      <c r="D405" s="911">
        <v>0.57999999999999996</v>
      </c>
      <c r="E405" s="911">
        <v>0.05</v>
      </c>
      <c r="F405" s="914" t="s">
        <v>1116</v>
      </c>
      <c r="G405" s="914">
        <v>0.14000000000000001</v>
      </c>
      <c r="H405" s="915">
        <v>0.11</v>
      </c>
      <c r="I405" s="715"/>
      <c r="J405" s="715"/>
      <c r="K405" s="162"/>
      <c r="L405" s="162"/>
      <c r="M405" s="162"/>
      <c r="N405" s="162"/>
      <c r="O405" s="162"/>
      <c r="P405" s="162"/>
      <c r="Q405" s="162"/>
      <c r="R405" s="162"/>
      <c r="S405" s="162"/>
      <c r="T405" s="162"/>
      <c r="U405" s="162"/>
      <c r="V405" s="162"/>
      <c r="W405" s="162"/>
      <c r="X405" s="162"/>
      <c r="Y405" s="162"/>
      <c r="Z405" s="162"/>
      <c r="AA405" s="162"/>
      <c r="AB405" s="162"/>
      <c r="AC405" s="162"/>
      <c r="AD405" s="162"/>
    </row>
    <row r="406" spans="1:30">
      <c r="A406" s="694" t="s">
        <v>1073</v>
      </c>
      <c r="B406" s="694" t="s">
        <v>1073</v>
      </c>
      <c r="C406" s="911" t="s">
        <v>1116</v>
      </c>
      <c r="D406" s="911">
        <v>0.57999999999999996</v>
      </c>
      <c r="E406" s="911">
        <v>0.05</v>
      </c>
      <c r="F406" s="914">
        <v>0.15</v>
      </c>
      <c r="G406" s="914">
        <v>0.14000000000000001</v>
      </c>
      <c r="H406" s="915">
        <v>0.11</v>
      </c>
      <c r="I406" s="715"/>
      <c r="J406" s="715"/>
      <c r="K406" s="162"/>
      <c r="L406" s="162"/>
      <c r="M406" s="162"/>
      <c r="N406" s="162"/>
      <c r="O406" s="162"/>
      <c r="P406" s="162"/>
      <c r="Q406" s="162"/>
      <c r="R406" s="162"/>
      <c r="S406" s="162"/>
      <c r="T406" s="162"/>
      <c r="U406" s="162"/>
      <c r="V406" s="162"/>
      <c r="W406" s="162"/>
      <c r="X406" s="162"/>
      <c r="Y406" s="162"/>
      <c r="Z406" s="162"/>
      <c r="AA406" s="162"/>
      <c r="AB406" s="162"/>
      <c r="AC406" s="162"/>
      <c r="AD406" s="162"/>
    </row>
    <row r="407" spans="1:30">
      <c r="A407" s="694" t="s">
        <v>1074</v>
      </c>
      <c r="B407" s="694" t="s">
        <v>1074</v>
      </c>
      <c r="C407" s="911" t="s">
        <v>1116</v>
      </c>
      <c r="D407" s="911">
        <v>0.57999999999999996</v>
      </c>
      <c r="E407" s="911">
        <v>0.05</v>
      </c>
      <c r="F407" s="914">
        <v>0.15</v>
      </c>
      <c r="G407" s="914">
        <v>0.14000000000000001</v>
      </c>
      <c r="H407" s="915">
        <v>0.11</v>
      </c>
      <c r="I407" s="715"/>
      <c r="J407" s="715"/>
      <c r="K407" s="162"/>
      <c r="L407" s="162"/>
      <c r="M407" s="162"/>
      <c r="N407" s="162"/>
      <c r="O407" s="162"/>
      <c r="P407" s="162"/>
      <c r="Q407" s="162"/>
      <c r="R407" s="162"/>
      <c r="S407" s="162"/>
      <c r="T407" s="162"/>
      <c r="U407" s="162"/>
      <c r="V407" s="162"/>
      <c r="W407" s="162"/>
      <c r="X407" s="162"/>
      <c r="Y407" s="162"/>
      <c r="Z407" s="162"/>
      <c r="AA407" s="162"/>
      <c r="AB407" s="162"/>
      <c r="AC407" s="162"/>
      <c r="AD407" s="162"/>
    </row>
    <row r="408" spans="1:30">
      <c r="A408" s="694" t="s">
        <v>1075</v>
      </c>
      <c r="B408" s="694" t="s">
        <v>1075</v>
      </c>
      <c r="C408" s="911" t="s">
        <v>1116</v>
      </c>
      <c r="D408" s="911">
        <v>0.57999999999999996</v>
      </c>
      <c r="E408" s="911">
        <v>0.05</v>
      </c>
      <c r="F408" s="914">
        <v>0.15</v>
      </c>
      <c r="G408" s="914">
        <v>0.14000000000000001</v>
      </c>
      <c r="H408" s="915">
        <v>0.11</v>
      </c>
      <c r="I408" s="715"/>
      <c r="J408" s="715"/>
      <c r="K408" s="162"/>
      <c r="L408" s="162"/>
      <c r="M408" s="162"/>
      <c r="N408" s="162"/>
      <c r="O408" s="162"/>
      <c r="P408" s="162"/>
      <c r="Q408" s="162"/>
      <c r="R408" s="162"/>
      <c r="S408" s="162"/>
      <c r="T408" s="162"/>
      <c r="U408" s="162"/>
      <c r="V408" s="162"/>
      <c r="W408" s="162"/>
      <c r="X408" s="162"/>
      <c r="Y408" s="162"/>
      <c r="Z408" s="162"/>
      <c r="AA408" s="162"/>
      <c r="AB408" s="162"/>
      <c r="AC408" s="162"/>
      <c r="AD408" s="162"/>
    </row>
    <row r="409" spans="1:30">
      <c r="A409" s="694" t="s">
        <v>1076</v>
      </c>
      <c r="B409" s="694" t="s">
        <v>1076</v>
      </c>
      <c r="C409" s="911" t="s">
        <v>1116</v>
      </c>
      <c r="D409" s="911">
        <v>0.57999999999999996</v>
      </c>
      <c r="E409" s="911">
        <v>0.05</v>
      </c>
      <c r="F409" s="914">
        <v>0.15</v>
      </c>
      <c r="G409" s="914">
        <v>0.14000000000000001</v>
      </c>
      <c r="H409" s="915">
        <v>0.11</v>
      </c>
      <c r="I409" s="715"/>
      <c r="J409" s="715"/>
      <c r="K409" s="162"/>
      <c r="L409" s="162"/>
      <c r="M409" s="162"/>
      <c r="N409" s="162"/>
      <c r="O409" s="162"/>
      <c r="P409" s="162"/>
      <c r="Q409" s="162"/>
      <c r="R409" s="162"/>
      <c r="S409" s="162"/>
      <c r="T409" s="162"/>
      <c r="U409" s="162"/>
      <c r="V409" s="162"/>
      <c r="W409" s="162"/>
      <c r="X409" s="162"/>
      <c r="Y409" s="162"/>
      <c r="Z409" s="162"/>
      <c r="AA409" s="162"/>
      <c r="AB409" s="162"/>
      <c r="AC409" s="162"/>
      <c r="AD409" s="162"/>
    </row>
    <row r="410" spans="1:30">
      <c r="A410" s="694" t="s">
        <v>1077</v>
      </c>
      <c r="B410" s="694" t="s">
        <v>1077</v>
      </c>
      <c r="C410" s="911" t="s">
        <v>1116</v>
      </c>
      <c r="D410" s="911">
        <v>0.57999999999999996</v>
      </c>
      <c r="E410" s="911">
        <v>0.05</v>
      </c>
      <c r="F410" s="914">
        <v>0.15</v>
      </c>
      <c r="G410" s="914">
        <v>0.14000000000000001</v>
      </c>
      <c r="H410" s="915">
        <v>0.11</v>
      </c>
      <c r="I410" s="715"/>
      <c r="J410" s="715"/>
      <c r="K410" s="162"/>
      <c r="L410" s="162"/>
      <c r="M410" s="162"/>
      <c r="N410" s="162"/>
      <c r="O410" s="162"/>
      <c r="P410" s="162"/>
      <c r="Q410" s="162"/>
      <c r="R410" s="162"/>
      <c r="S410" s="162"/>
      <c r="T410" s="162"/>
      <c r="U410" s="162"/>
      <c r="V410" s="162"/>
      <c r="W410" s="162"/>
      <c r="X410" s="162"/>
      <c r="Y410" s="162"/>
      <c r="Z410" s="162"/>
      <c r="AA410" s="162"/>
      <c r="AB410" s="162"/>
      <c r="AC410" s="162"/>
      <c r="AD410" s="162"/>
    </row>
    <row r="411" spans="1:30">
      <c r="A411" s="694" t="s">
        <v>1078</v>
      </c>
      <c r="B411" s="694" t="s">
        <v>1078</v>
      </c>
      <c r="C411" s="911" t="s">
        <v>1116</v>
      </c>
      <c r="D411" s="911">
        <v>0.57999999999999996</v>
      </c>
      <c r="E411" s="911">
        <v>0.05</v>
      </c>
      <c r="F411" s="914">
        <v>0.15</v>
      </c>
      <c r="G411" s="914">
        <v>0.14000000000000001</v>
      </c>
      <c r="H411" s="915">
        <v>0.11</v>
      </c>
      <c r="I411" s="715"/>
      <c r="J411" s="715"/>
      <c r="K411" s="162"/>
      <c r="L411" s="162"/>
      <c r="M411" s="162"/>
      <c r="N411" s="162"/>
      <c r="O411" s="162"/>
      <c r="P411" s="162"/>
      <c r="Q411" s="162"/>
      <c r="R411" s="162"/>
      <c r="S411" s="162"/>
      <c r="T411" s="162"/>
      <c r="U411" s="162"/>
      <c r="V411" s="162"/>
      <c r="W411" s="162"/>
      <c r="X411" s="162"/>
      <c r="Y411" s="162"/>
      <c r="Z411" s="162"/>
      <c r="AA411" s="162"/>
      <c r="AB411" s="162"/>
      <c r="AC411" s="162"/>
      <c r="AD411" s="162"/>
    </row>
    <row r="412" spans="1:30">
      <c r="A412" s="694" t="s">
        <v>1079</v>
      </c>
      <c r="B412" s="694" t="s">
        <v>1079</v>
      </c>
      <c r="C412" s="911" t="s">
        <v>1116</v>
      </c>
      <c r="D412" s="911">
        <v>0.33</v>
      </c>
      <c r="E412" s="911">
        <v>0.05</v>
      </c>
      <c r="F412" s="914">
        <v>0.19</v>
      </c>
      <c r="G412" s="914">
        <v>0.11</v>
      </c>
      <c r="H412" s="915" t="s">
        <v>1116</v>
      </c>
      <c r="I412" s="715"/>
      <c r="J412" s="715"/>
      <c r="K412" s="162"/>
      <c r="L412" s="162"/>
      <c r="M412" s="162"/>
      <c r="N412" s="162"/>
      <c r="O412" s="162"/>
      <c r="P412" s="162"/>
      <c r="Q412" s="162"/>
      <c r="R412" s="162"/>
      <c r="S412" s="162"/>
      <c r="T412" s="162"/>
      <c r="U412" s="162"/>
      <c r="V412" s="162"/>
      <c r="W412" s="162"/>
      <c r="X412" s="162"/>
      <c r="Y412" s="162"/>
      <c r="Z412" s="162"/>
      <c r="AA412" s="162"/>
      <c r="AB412" s="162"/>
      <c r="AC412" s="162"/>
      <c r="AD412" s="162"/>
    </row>
    <row r="413" spans="1:30">
      <c r="A413" s="694" t="s">
        <v>1080</v>
      </c>
      <c r="B413" s="694" t="s">
        <v>1080</v>
      </c>
      <c r="C413" s="911" t="s">
        <v>1116</v>
      </c>
      <c r="D413" s="911">
        <v>0.26</v>
      </c>
      <c r="E413" s="911">
        <v>0.05</v>
      </c>
      <c r="F413" s="914">
        <v>0.19</v>
      </c>
      <c r="G413" s="914">
        <v>0.09</v>
      </c>
      <c r="H413" s="915" t="s">
        <v>1116</v>
      </c>
      <c r="I413" s="715"/>
      <c r="J413" s="715"/>
      <c r="K413" s="162"/>
      <c r="L413" s="162"/>
      <c r="M413" s="162"/>
      <c r="N413" s="162"/>
      <c r="O413" s="162"/>
      <c r="P413" s="162"/>
      <c r="Q413" s="162"/>
      <c r="R413" s="162"/>
      <c r="S413" s="162"/>
      <c r="T413" s="162"/>
      <c r="U413" s="162"/>
      <c r="V413" s="162"/>
      <c r="W413" s="162"/>
      <c r="X413" s="162"/>
      <c r="Y413" s="162"/>
      <c r="Z413" s="162"/>
      <c r="AA413" s="162"/>
      <c r="AB413" s="162"/>
      <c r="AC413" s="162"/>
      <c r="AD413" s="162"/>
    </row>
    <row r="414" spans="1:30">
      <c r="A414" s="694" t="s">
        <v>1081</v>
      </c>
      <c r="B414" s="694" t="s">
        <v>1081</v>
      </c>
      <c r="C414" s="911" t="s">
        <v>1116</v>
      </c>
      <c r="D414" s="911">
        <v>0.26</v>
      </c>
      <c r="E414" s="911">
        <v>0.05</v>
      </c>
      <c r="F414" s="914">
        <v>0.19</v>
      </c>
      <c r="G414" s="914">
        <v>0.13</v>
      </c>
      <c r="H414" s="915" t="s">
        <v>1116</v>
      </c>
      <c r="I414" s="715"/>
      <c r="J414" s="715"/>
      <c r="K414" s="162"/>
      <c r="L414" s="162"/>
      <c r="M414" s="162"/>
      <c r="N414" s="162"/>
      <c r="O414" s="162"/>
      <c r="P414" s="162"/>
      <c r="Q414" s="162"/>
      <c r="R414" s="162"/>
      <c r="S414" s="162"/>
      <c r="T414" s="162"/>
      <c r="U414" s="162"/>
      <c r="V414" s="162"/>
      <c r="W414" s="162"/>
      <c r="X414" s="162"/>
      <c r="Y414" s="162"/>
      <c r="Z414" s="162"/>
      <c r="AA414" s="162"/>
      <c r="AB414" s="162"/>
      <c r="AC414" s="162"/>
      <c r="AD414" s="162"/>
    </row>
    <row r="415" spans="1:30">
      <c r="A415" s="694" t="s">
        <v>1082</v>
      </c>
      <c r="B415" s="694" t="s">
        <v>1082</v>
      </c>
      <c r="C415" s="911" t="s">
        <v>1116</v>
      </c>
      <c r="D415" s="911">
        <v>0.53</v>
      </c>
      <c r="E415" s="911">
        <v>0.05</v>
      </c>
      <c r="F415" s="914">
        <v>0.19</v>
      </c>
      <c r="G415" s="914">
        <v>0.16</v>
      </c>
      <c r="H415" s="915" t="s">
        <v>1116</v>
      </c>
      <c r="I415" s="715"/>
      <c r="J415" s="715"/>
      <c r="K415" s="162"/>
      <c r="L415" s="162"/>
      <c r="M415" s="162"/>
      <c r="N415" s="162"/>
      <c r="O415" s="162"/>
      <c r="P415" s="162"/>
      <c r="Q415" s="162"/>
      <c r="R415" s="162"/>
      <c r="S415" s="162"/>
      <c r="T415" s="162"/>
      <c r="U415" s="162"/>
      <c r="V415" s="162"/>
      <c r="W415" s="162"/>
      <c r="X415" s="162"/>
      <c r="Y415" s="162"/>
      <c r="Z415" s="162"/>
      <c r="AA415" s="162"/>
      <c r="AB415" s="162"/>
      <c r="AC415" s="162"/>
      <c r="AD415" s="162"/>
    </row>
    <row r="416" spans="1:30">
      <c r="A416" s="694" t="s">
        <v>1083</v>
      </c>
      <c r="B416" s="767" t="s">
        <v>1165</v>
      </c>
      <c r="C416" s="911">
        <v>7.0000000000000007E-2</v>
      </c>
      <c r="D416" s="911">
        <v>0.8</v>
      </c>
      <c r="E416" s="911">
        <v>0.05</v>
      </c>
      <c r="F416" s="914" t="s">
        <v>1116</v>
      </c>
      <c r="G416" s="914" t="s">
        <v>1116</v>
      </c>
      <c r="H416" s="915" t="s">
        <v>1116</v>
      </c>
      <c r="I416" s="715"/>
      <c r="J416" s="715"/>
      <c r="K416" s="162"/>
      <c r="L416" s="162"/>
      <c r="M416" s="162"/>
      <c r="N416" s="162"/>
      <c r="O416" s="162"/>
      <c r="P416" s="162"/>
      <c r="Q416" s="162"/>
      <c r="R416" s="162"/>
      <c r="S416" s="162"/>
      <c r="T416" s="162"/>
      <c r="U416" s="162"/>
      <c r="V416" s="162"/>
      <c r="W416" s="162"/>
      <c r="X416" s="162"/>
      <c r="Y416" s="162"/>
      <c r="Z416" s="162"/>
      <c r="AA416" s="162"/>
      <c r="AB416" s="162"/>
      <c r="AC416" s="162"/>
      <c r="AD416" s="162"/>
    </row>
    <row r="417" spans="1:30">
      <c r="A417" s="694" t="s">
        <v>1084</v>
      </c>
      <c r="B417" s="767" t="s">
        <v>1167</v>
      </c>
      <c r="C417" s="911">
        <v>7.0000000000000007E-2</v>
      </c>
      <c r="D417" s="911">
        <v>0.77</v>
      </c>
      <c r="E417" s="911">
        <v>0.05</v>
      </c>
      <c r="F417" s="914" t="s">
        <v>1116</v>
      </c>
      <c r="G417" s="914" t="s">
        <v>1116</v>
      </c>
      <c r="H417" s="915" t="s">
        <v>1116</v>
      </c>
      <c r="I417" s="715"/>
      <c r="J417" s="715"/>
      <c r="K417" s="162"/>
      <c r="L417" s="162"/>
      <c r="M417" s="162"/>
      <c r="N417" s="162"/>
      <c r="O417" s="162"/>
      <c r="P417" s="162"/>
      <c r="Q417" s="162"/>
      <c r="R417" s="162"/>
      <c r="S417" s="162"/>
      <c r="T417" s="162"/>
      <c r="U417" s="162"/>
      <c r="V417" s="162"/>
      <c r="W417" s="162"/>
      <c r="X417" s="162"/>
      <c r="Y417" s="162"/>
      <c r="Z417" s="162"/>
      <c r="AA417" s="162"/>
      <c r="AB417" s="162"/>
      <c r="AC417" s="162"/>
      <c r="AD417" s="162"/>
    </row>
    <row r="418" spans="1:30">
      <c r="A418" s="694" t="s">
        <v>1085</v>
      </c>
      <c r="B418" s="767" t="s">
        <v>1168</v>
      </c>
      <c r="C418" s="911">
        <v>0.03</v>
      </c>
      <c r="D418" s="911">
        <v>0.75</v>
      </c>
      <c r="E418" s="911">
        <v>0.05</v>
      </c>
      <c r="F418" s="914" t="s">
        <v>1116</v>
      </c>
      <c r="G418" s="914" t="s">
        <v>1116</v>
      </c>
      <c r="H418" s="915" t="s">
        <v>1116</v>
      </c>
      <c r="I418" s="715"/>
      <c r="J418" s="715"/>
      <c r="K418" s="162"/>
      <c r="L418" s="162"/>
      <c r="M418" s="162"/>
      <c r="N418" s="162"/>
      <c r="O418" s="162"/>
      <c r="P418" s="162"/>
      <c r="Q418" s="162"/>
      <c r="R418" s="162"/>
      <c r="S418" s="162"/>
      <c r="T418" s="162"/>
      <c r="U418" s="162"/>
      <c r="V418" s="162"/>
      <c r="W418" s="162"/>
      <c r="X418" s="162"/>
      <c r="Y418" s="162"/>
      <c r="Z418" s="162"/>
      <c r="AA418" s="162"/>
      <c r="AB418" s="162"/>
      <c r="AC418" s="162"/>
      <c r="AD418" s="162"/>
    </row>
    <row r="419" spans="1:30">
      <c r="A419" s="694" t="s">
        <v>1086</v>
      </c>
      <c r="B419" s="694" t="s">
        <v>1086</v>
      </c>
      <c r="C419" s="911">
        <v>0.23</v>
      </c>
      <c r="D419" s="911">
        <v>0.02</v>
      </c>
      <c r="E419" s="911">
        <v>0.01</v>
      </c>
      <c r="F419" s="914" t="s">
        <v>1116</v>
      </c>
      <c r="G419" s="914" t="s">
        <v>1116</v>
      </c>
      <c r="H419" s="915" t="s">
        <v>1116</v>
      </c>
      <c r="I419" s="715"/>
      <c r="J419" s="715"/>
      <c r="K419" s="162"/>
      <c r="L419" s="162"/>
      <c r="M419" s="162"/>
      <c r="N419" s="162"/>
      <c r="O419" s="162"/>
      <c r="P419" s="162"/>
      <c r="Q419" s="162"/>
      <c r="R419" s="162"/>
      <c r="S419" s="162"/>
      <c r="T419" s="162"/>
      <c r="U419" s="162"/>
      <c r="V419" s="162"/>
      <c r="W419" s="162"/>
      <c r="X419" s="162"/>
      <c r="Y419" s="162"/>
      <c r="Z419" s="162"/>
      <c r="AA419" s="162"/>
      <c r="AB419" s="162"/>
      <c r="AC419" s="162"/>
      <c r="AD419" s="162"/>
    </row>
    <row r="420" spans="1:30">
      <c r="A420" s="694" t="s">
        <v>1087</v>
      </c>
      <c r="B420" s="694" t="s">
        <v>1087</v>
      </c>
      <c r="C420" s="911">
        <v>0.22</v>
      </c>
      <c r="D420" s="911">
        <v>0.02</v>
      </c>
      <c r="E420" s="911">
        <v>2.34</v>
      </c>
      <c r="F420" s="914" t="s">
        <v>1116</v>
      </c>
      <c r="G420" s="914" t="s">
        <v>1116</v>
      </c>
      <c r="H420" s="915" t="s">
        <v>1116</v>
      </c>
      <c r="I420" s="715"/>
      <c r="J420" s="715"/>
      <c r="K420" s="162"/>
      <c r="L420" s="162"/>
      <c r="M420" s="162"/>
      <c r="N420" s="162"/>
      <c r="O420" s="162"/>
      <c r="P420" s="162"/>
      <c r="Q420" s="162"/>
      <c r="R420" s="162"/>
      <c r="S420" s="162"/>
      <c r="T420" s="162"/>
      <c r="U420" s="162"/>
      <c r="V420" s="162"/>
      <c r="W420" s="162"/>
      <c r="X420" s="162"/>
      <c r="Y420" s="162"/>
      <c r="Z420" s="162"/>
      <c r="AA420" s="162"/>
      <c r="AB420" s="162"/>
      <c r="AC420" s="162"/>
      <c r="AD420" s="162"/>
    </row>
    <row r="421" spans="1:30">
      <c r="A421" s="694" t="s">
        <v>1088</v>
      </c>
      <c r="B421" s="694" t="s">
        <v>1088</v>
      </c>
      <c r="C421" s="911">
        <v>0.09</v>
      </c>
      <c r="D421" s="911">
        <v>0.68</v>
      </c>
      <c r="E421" s="911">
        <v>0.11</v>
      </c>
      <c r="F421" s="914" t="s">
        <v>1116</v>
      </c>
      <c r="G421" s="914" t="s">
        <v>1116</v>
      </c>
      <c r="H421" s="915" t="s">
        <v>1116</v>
      </c>
      <c r="I421" s="715"/>
      <c r="J421" s="715"/>
      <c r="K421" s="162"/>
      <c r="L421" s="162"/>
      <c r="M421" s="162"/>
      <c r="N421" s="162"/>
      <c r="O421" s="162"/>
      <c r="P421" s="162"/>
      <c r="Q421" s="162"/>
      <c r="R421" s="162"/>
      <c r="S421" s="162"/>
      <c r="T421" s="162"/>
      <c r="U421" s="162"/>
      <c r="V421" s="162"/>
      <c r="W421" s="162"/>
      <c r="X421" s="162"/>
      <c r="Y421" s="162"/>
      <c r="Z421" s="162"/>
      <c r="AA421" s="162"/>
      <c r="AB421" s="162"/>
      <c r="AC421" s="162"/>
      <c r="AD421" s="162"/>
    </row>
    <row r="422" spans="1:30">
      <c r="A422" s="694" t="s">
        <v>1089</v>
      </c>
      <c r="B422" s="694" t="s">
        <v>1089</v>
      </c>
      <c r="C422" s="911" t="s">
        <v>1116</v>
      </c>
      <c r="D422" s="911">
        <v>0.57999999999999996</v>
      </c>
      <c r="E422" s="911">
        <v>0.05</v>
      </c>
      <c r="F422" s="914">
        <v>0.15</v>
      </c>
      <c r="G422" s="914" t="s">
        <v>1116</v>
      </c>
      <c r="H422" s="915" t="s">
        <v>1116</v>
      </c>
      <c r="I422" s="715"/>
      <c r="J422" s="715"/>
      <c r="K422" s="162"/>
      <c r="L422" s="162"/>
      <c r="M422" s="162"/>
      <c r="N422" s="162"/>
      <c r="O422" s="162"/>
      <c r="P422" s="162"/>
      <c r="Q422" s="162"/>
      <c r="R422" s="162"/>
      <c r="S422" s="162"/>
      <c r="T422" s="162"/>
      <c r="U422" s="162"/>
      <c r="V422" s="162"/>
      <c r="W422" s="162"/>
      <c r="X422" s="162"/>
      <c r="Y422" s="162"/>
      <c r="Z422" s="162"/>
      <c r="AA422" s="162"/>
      <c r="AB422" s="162"/>
      <c r="AC422" s="162"/>
      <c r="AD422" s="162"/>
    </row>
    <row r="423" spans="1:30">
      <c r="A423" s="694" t="s">
        <v>1090</v>
      </c>
      <c r="B423" s="694" t="s">
        <v>1090</v>
      </c>
      <c r="C423" s="911" t="s">
        <v>1116</v>
      </c>
      <c r="D423" s="911">
        <v>0.48</v>
      </c>
      <c r="E423" s="911">
        <v>0.05</v>
      </c>
      <c r="F423" s="914">
        <v>0.17</v>
      </c>
      <c r="G423" s="914" t="s">
        <v>1116</v>
      </c>
      <c r="H423" s="915" t="s">
        <v>1116</v>
      </c>
      <c r="I423" s="715"/>
      <c r="J423" s="715"/>
      <c r="K423" s="162"/>
      <c r="L423" s="162"/>
      <c r="M423" s="162"/>
      <c r="N423" s="162"/>
      <c r="O423" s="162"/>
      <c r="P423" s="162"/>
      <c r="Q423" s="162"/>
      <c r="R423" s="162"/>
      <c r="S423" s="162"/>
      <c r="T423" s="162"/>
      <c r="U423" s="162"/>
      <c r="V423" s="162"/>
      <c r="W423" s="162"/>
      <c r="X423" s="162"/>
      <c r="Y423" s="162"/>
      <c r="Z423" s="162"/>
      <c r="AA423" s="162"/>
      <c r="AB423" s="162"/>
      <c r="AC423" s="162"/>
      <c r="AD423" s="162"/>
    </row>
    <row r="424" spans="1:30">
      <c r="A424" s="694" t="s">
        <v>1270</v>
      </c>
      <c r="B424" s="767" t="s">
        <v>1169</v>
      </c>
      <c r="C424" s="911" t="s">
        <v>1116</v>
      </c>
      <c r="D424" s="911">
        <v>0.52</v>
      </c>
      <c r="E424" s="911">
        <v>0.43</v>
      </c>
      <c r="F424" s="914" t="s">
        <v>1116</v>
      </c>
      <c r="G424" s="914" t="s">
        <v>1116</v>
      </c>
      <c r="H424" s="915" t="s">
        <v>1116</v>
      </c>
      <c r="I424" s="715"/>
      <c r="J424" s="715"/>
      <c r="K424" s="162"/>
      <c r="L424" s="162"/>
      <c r="M424" s="162"/>
      <c r="N424" s="162"/>
      <c r="O424" s="162"/>
      <c r="P424" s="162"/>
      <c r="Q424" s="162"/>
      <c r="R424" s="162"/>
      <c r="S424" s="162"/>
      <c r="T424" s="162"/>
      <c r="U424" s="162"/>
      <c r="V424" s="162"/>
      <c r="W424" s="162"/>
      <c r="X424" s="162"/>
      <c r="Y424" s="162"/>
      <c r="Z424" s="162"/>
      <c r="AA424" s="162"/>
      <c r="AB424" s="162"/>
      <c r="AC424" s="162"/>
      <c r="AD424" s="162"/>
    </row>
    <row r="425" spans="1:30">
      <c r="A425" s="694" t="s">
        <v>1091</v>
      </c>
      <c r="B425" s="694" t="s">
        <v>1091</v>
      </c>
      <c r="C425" s="911" t="s">
        <v>1116</v>
      </c>
      <c r="D425" s="911">
        <v>0.02</v>
      </c>
      <c r="E425" s="911">
        <v>1.68</v>
      </c>
      <c r="F425" s="912" t="s">
        <v>1116</v>
      </c>
      <c r="G425" s="912" t="s">
        <v>1116</v>
      </c>
      <c r="H425" s="913" t="s">
        <v>1116</v>
      </c>
      <c r="I425" s="715"/>
      <c r="J425" s="715"/>
      <c r="K425" s="162"/>
      <c r="L425" s="162"/>
      <c r="M425" s="162"/>
      <c r="N425" s="162"/>
      <c r="O425" s="162"/>
      <c r="P425" s="162"/>
      <c r="Q425" s="162"/>
      <c r="R425" s="162"/>
      <c r="S425" s="162"/>
      <c r="T425" s="162"/>
      <c r="U425" s="162"/>
      <c r="V425" s="162"/>
      <c r="W425" s="162"/>
      <c r="X425" s="162"/>
      <c r="Y425" s="162"/>
      <c r="Z425" s="162"/>
      <c r="AA425" s="162"/>
      <c r="AB425" s="162"/>
      <c r="AC425" s="162"/>
      <c r="AD425" s="162"/>
    </row>
    <row r="426" spans="1:30">
      <c r="A426" s="694" t="s">
        <v>1092</v>
      </c>
      <c r="B426" s="694" t="s">
        <v>1092</v>
      </c>
      <c r="C426" s="911" t="s">
        <v>1116</v>
      </c>
      <c r="D426" s="911">
        <v>0.02</v>
      </c>
      <c r="E426" s="911">
        <v>0.4</v>
      </c>
      <c r="F426" s="912" t="s">
        <v>1116</v>
      </c>
      <c r="G426" s="912" t="s">
        <v>1116</v>
      </c>
      <c r="H426" s="913" t="s">
        <v>1116</v>
      </c>
      <c r="I426" s="715"/>
      <c r="J426" s="715"/>
      <c r="K426" s="162"/>
      <c r="L426" s="162"/>
      <c r="M426" s="162"/>
      <c r="N426" s="162"/>
      <c r="O426" s="162"/>
      <c r="P426" s="162"/>
      <c r="Q426" s="162"/>
      <c r="R426" s="162"/>
      <c r="S426" s="162"/>
      <c r="T426" s="162"/>
      <c r="U426" s="162"/>
      <c r="V426" s="162"/>
      <c r="W426" s="162"/>
      <c r="X426" s="162"/>
      <c r="Y426" s="162"/>
      <c r="Z426" s="162"/>
      <c r="AA426" s="162"/>
      <c r="AB426" s="162"/>
      <c r="AC426" s="162"/>
      <c r="AD426" s="162"/>
    </row>
    <row r="427" spans="1:30">
      <c r="A427" s="694" t="s">
        <v>1093</v>
      </c>
      <c r="B427" s="694" t="s">
        <v>1093</v>
      </c>
      <c r="C427" s="911" t="s">
        <v>1116</v>
      </c>
      <c r="D427" s="911">
        <v>0.02</v>
      </c>
      <c r="E427" s="911">
        <v>0.89</v>
      </c>
      <c r="F427" s="912" t="s">
        <v>1116</v>
      </c>
      <c r="G427" s="912" t="s">
        <v>1116</v>
      </c>
      <c r="H427" s="913" t="s">
        <v>1116</v>
      </c>
      <c r="I427" s="715"/>
      <c r="J427" s="715"/>
      <c r="K427" s="162"/>
      <c r="L427" s="162"/>
      <c r="M427" s="162"/>
      <c r="N427" s="162"/>
      <c r="O427" s="162"/>
      <c r="P427" s="162"/>
      <c r="Q427" s="162"/>
      <c r="R427" s="162"/>
      <c r="S427" s="162"/>
      <c r="T427" s="162"/>
      <c r="U427" s="162"/>
      <c r="V427" s="162"/>
      <c r="W427" s="162"/>
      <c r="X427" s="162"/>
      <c r="Y427" s="162"/>
      <c r="Z427" s="162"/>
      <c r="AA427" s="162"/>
      <c r="AB427" s="162"/>
      <c r="AC427" s="162"/>
      <c r="AD427" s="162"/>
    </row>
    <row r="428" spans="1:30">
      <c r="A428" s="694" t="s">
        <v>1094</v>
      </c>
      <c r="B428" s="767" t="s">
        <v>1170</v>
      </c>
      <c r="C428" s="911" t="s">
        <v>1116</v>
      </c>
      <c r="D428" s="911">
        <v>0.02</v>
      </c>
      <c r="E428" s="911">
        <v>0.74</v>
      </c>
      <c r="F428" s="912" t="s">
        <v>1116</v>
      </c>
      <c r="G428" s="912" t="s">
        <v>1116</v>
      </c>
      <c r="H428" s="913" t="s">
        <v>1116</v>
      </c>
      <c r="I428" s="715"/>
      <c r="J428" s="715"/>
      <c r="K428" s="162"/>
      <c r="L428" s="162"/>
      <c r="M428" s="162"/>
      <c r="N428" s="162"/>
      <c r="O428" s="162"/>
      <c r="P428" s="162"/>
      <c r="Q428" s="162"/>
      <c r="R428" s="162"/>
      <c r="S428" s="162"/>
      <c r="T428" s="162"/>
      <c r="U428" s="162"/>
      <c r="V428" s="162"/>
      <c r="W428" s="162"/>
      <c r="X428" s="162"/>
      <c r="Y428" s="162"/>
      <c r="Z428" s="162"/>
      <c r="AA428" s="162"/>
      <c r="AB428" s="162"/>
      <c r="AC428" s="162"/>
      <c r="AD428" s="162"/>
    </row>
    <row r="429" spans="1:30">
      <c r="A429" s="694" t="s">
        <v>1095</v>
      </c>
      <c r="B429" s="694" t="s">
        <v>1095</v>
      </c>
      <c r="C429" s="911" t="s">
        <v>1116</v>
      </c>
      <c r="D429" s="911">
        <v>0.02</v>
      </c>
      <c r="E429" s="911">
        <v>0.64</v>
      </c>
      <c r="F429" s="912" t="s">
        <v>1116</v>
      </c>
      <c r="G429" s="912" t="s">
        <v>1116</v>
      </c>
      <c r="H429" s="913" t="s">
        <v>1116</v>
      </c>
      <c r="I429" s="715"/>
      <c r="J429" s="715"/>
      <c r="K429" s="162"/>
      <c r="L429" s="162"/>
      <c r="M429" s="162"/>
      <c r="N429" s="162"/>
      <c r="O429" s="162"/>
      <c r="P429" s="162"/>
      <c r="Q429" s="162"/>
      <c r="R429" s="162"/>
      <c r="S429" s="162"/>
      <c r="T429" s="162"/>
      <c r="U429" s="162"/>
      <c r="V429" s="162"/>
      <c r="W429" s="162"/>
      <c r="X429" s="162"/>
      <c r="Y429" s="162"/>
      <c r="Z429" s="162"/>
      <c r="AA429" s="162"/>
      <c r="AB429" s="162"/>
      <c r="AC429" s="162"/>
      <c r="AD429" s="162"/>
    </row>
    <row r="430" spans="1:30">
      <c r="A430" s="694" t="s">
        <v>1096</v>
      </c>
      <c r="B430" s="694" t="s">
        <v>1096</v>
      </c>
      <c r="C430" s="911" t="s">
        <v>1116</v>
      </c>
      <c r="D430" s="911">
        <v>0.02</v>
      </c>
      <c r="E430" s="911">
        <v>2.23</v>
      </c>
      <c r="F430" s="912" t="s">
        <v>1116</v>
      </c>
      <c r="G430" s="912" t="s">
        <v>1116</v>
      </c>
      <c r="H430" s="913" t="s">
        <v>1116</v>
      </c>
      <c r="I430" s="715"/>
      <c r="J430" s="715"/>
      <c r="K430" s="162"/>
      <c r="L430" s="162"/>
      <c r="M430" s="162"/>
      <c r="N430" s="162"/>
      <c r="O430" s="162"/>
      <c r="P430" s="162"/>
      <c r="Q430" s="162"/>
      <c r="R430" s="162"/>
      <c r="S430" s="162"/>
      <c r="T430" s="162"/>
      <c r="U430" s="162"/>
      <c r="V430" s="162"/>
      <c r="W430" s="162"/>
      <c r="X430" s="162"/>
      <c r="Y430" s="162"/>
      <c r="Z430" s="162"/>
      <c r="AA430" s="162"/>
      <c r="AB430" s="162"/>
      <c r="AC430" s="162"/>
      <c r="AD430" s="162"/>
    </row>
    <row r="431" spans="1:30">
      <c r="A431" s="694" t="s">
        <v>1097</v>
      </c>
      <c r="B431" s="767" t="s">
        <v>1174</v>
      </c>
      <c r="C431" s="911" t="s">
        <v>1116</v>
      </c>
      <c r="D431" s="911">
        <v>0.02</v>
      </c>
      <c r="E431" s="911">
        <v>1.92</v>
      </c>
      <c r="F431" s="912" t="s">
        <v>1116</v>
      </c>
      <c r="G431" s="912" t="s">
        <v>1116</v>
      </c>
      <c r="H431" s="913" t="s">
        <v>1116</v>
      </c>
      <c r="I431" s="715"/>
      <c r="J431" s="715"/>
      <c r="K431" s="162"/>
      <c r="L431" s="162"/>
      <c r="M431" s="162"/>
      <c r="N431" s="162"/>
      <c r="O431" s="162"/>
      <c r="P431" s="162"/>
      <c r="Q431" s="162"/>
      <c r="R431" s="162"/>
      <c r="S431" s="162"/>
      <c r="T431" s="162"/>
      <c r="U431" s="162"/>
      <c r="V431" s="162"/>
      <c r="W431" s="162"/>
      <c r="X431" s="162"/>
      <c r="Y431" s="162"/>
      <c r="Z431" s="162"/>
      <c r="AA431" s="162"/>
      <c r="AB431" s="162"/>
      <c r="AC431" s="162"/>
      <c r="AD431" s="162"/>
    </row>
    <row r="432" spans="1:30">
      <c r="A432" s="694" t="s">
        <v>1098</v>
      </c>
      <c r="B432" s="694" t="s">
        <v>1098</v>
      </c>
      <c r="C432" s="911" t="s">
        <v>1116</v>
      </c>
      <c r="D432" s="911">
        <v>0.02</v>
      </c>
      <c r="E432" s="911">
        <v>0.87</v>
      </c>
      <c r="F432" s="912" t="s">
        <v>1116</v>
      </c>
      <c r="G432" s="912" t="s">
        <v>1116</v>
      </c>
      <c r="H432" s="913" t="s">
        <v>1116</v>
      </c>
      <c r="I432" s="715"/>
      <c r="J432" s="715"/>
      <c r="K432" s="162"/>
      <c r="L432" s="162"/>
      <c r="M432" s="162"/>
      <c r="N432" s="162"/>
      <c r="O432" s="162"/>
      <c r="P432" s="162"/>
      <c r="Q432" s="162"/>
      <c r="R432" s="162"/>
      <c r="S432" s="162"/>
      <c r="T432" s="162"/>
      <c r="U432" s="162"/>
      <c r="V432" s="162"/>
      <c r="W432" s="162"/>
      <c r="X432" s="162"/>
      <c r="Y432" s="162"/>
      <c r="Z432" s="162"/>
      <c r="AA432" s="162"/>
      <c r="AB432" s="162"/>
      <c r="AC432" s="162"/>
      <c r="AD432" s="162"/>
    </row>
    <row r="433" spans="1:30">
      <c r="A433" s="694" t="s">
        <v>1099</v>
      </c>
      <c r="B433" s="694" t="s">
        <v>1099</v>
      </c>
      <c r="C433" s="911" t="s">
        <v>1116</v>
      </c>
      <c r="D433" s="911">
        <v>0.02</v>
      </c>
      <c r="E433" s="911" t="s">
        <v>1116</v>
      </c>
      <c r="F433" s="912" t="s">
        <v>1116</v>
      </c>
      <c r="G433" s="912" t="s">
        <v>1116</v>
      </c>
      <c r="H433" s="913" t="s">
        <v>1116</v>
      </c>
      <c r="I433" s="715"/>
      <c r="J433" s="715"/>
      <c r="K433" s="162"/>
      <c r="L433" s="162"/>
      <c r="M433" s="162"/>
      <c r="N433" s="162"/>
      <c r="O433" s="162"/>
      <c r="P433" s="162"/>
      <c r="Q433" s="162"/>
      <c r="R433" s="162"/>
      <c r="S433" s="162"/>
      <c r="T433" s="162"/>
      <c r="U433" s="162"/>
      <c r="V433" s="162"/>
      <c r="W433" s="162"/>
      <c r="X433" s="162"/>
      <c r="Y433" s="162"/>
      <c r="Z433" s="162"/>
      <c r="AA433" s="162"/>
      <c r="AB433" s="162"/>
      <c r="AC433" s="162"/>
      <c r="AD433" s="162"/>
    </row>
    <row r="434" spans="1:30">
      <c r="A434" s="694" t="s">
        <v>1100</v>
      </c>
      <c r="B434" s="694" t="s">
        <v>1100</v>
      </c>
      <c r="C434" s="911">
        <v>0.01</v>
      </c>
      <c r="D434" s="911">
        <v>0.02</v>
      </c>
      <c r="E434" s="911" t="s">
        <v>1116</v>
      </c>
      <c r="F434" s="912" t="s">
        <v>1116</v>
      </c>
      <c r="G434" s="912" t="s">
        <v>1116</v>
      </c>
      <c r="H434" s="913" t="s">
        <v>1116</v>
      </c>
      <c r="I434" s="715"/>
      <c r="J434" s="715"/>
      <c r="K434" s="162"/>
      <c r="L434" s="162"/>
      <c r="M434" s="162"/>
      <c r="N434" s="162"/>
      <c r="O434" s="162"/>
      <c r="P434" s="162"/>
      <c r="Q434" s="162"/>
      <c r="R434" s="162"/>
      <c r="S434" s="162"/>
      <c r="T434" s="162"/>
      <c r="U434" s="162"/>
      <c r="V434" s="162"/>
      <c r="W434" s="162"/>
      <c r="X434" s="162"/>
      <c r="Y434" s="162"/>
      <c r="Z434" s="162"/>
      <c r="AA434" s="162"/>
      <c r="AB434" s="162"/>
      <c r="AC434" s="162"/>
      <c r="AD434" s="162"/>
    </row>
    <row r="435" spans="1:30">
      <c r="A435" s="694" t="s">
        <v>1101</v>
      </c>
      <c r="B435" s="694" t="s">
        <v>1101</v>
      </c>
      <c r="C435" s="911">
        <v>0.01</v>
      </c>
      <c r="D435" s="911">
        <v>0.02</v>
      </c>
      <c r="E435" s="911" t="s">
        <v>1116</v>
      </c>
      <c r="F435" s="912" t="s">
        <v>1116</v>
      </c>
      <c r="G435" s="912" t="s">
        <v>1116</v>
      </c>
      <c r="H435" s="913" t="s">
        <v>1116</v>
      </c>
      <c r="I435" s="715"/>
      <c r="J435" s="715"/>
      <c r="K435" s="162"/>
      <c r="L435" s="162"/>
      <c r="M435" s="162"/>
      <c r="N435" s="162"/>
      <c r="O435" s="162"/>
      <c r="P435" s="162"/>
      <c r="Q435" s="162"/>
      <c r="R435" s="162"/>
      <c r="S435" s="162"/>
      <c r="T435" s="162"/>
      <c r="U435" s="162"/>
      <c r="V435" s="162"/>
      <c r="W435" s="162"/>
      <c r="X435" s="162"/>
      <c r="Y435" s="162"/>
      <c r="Z435" s="162"/>
      <c r="AA435" s="162"/>
      <c r="AB435" s="162"/>
      <c r="AC435" s="162"/>
      <c r="AD435" s="162"/>
    </row>
    <row r="436" spans="1:30">
      <c r="A436" s="694" t="s">
        <v>1102</v>
      </c>
      <c r="B436" s="694" t="s">
        <v>1102</v>
      </c>
      <c r="C436" s="911">
        <v>0.1</v>
      </c>
      <c r="D436" s="911">
        <v>0.02</v>
      </c>
      <c r="E436" s="911">
        <v>2.21</v>
      </c>
      <c r="F436" s="912" t="s">
        <v>1116</v>
      </c>
      <c r="G436" s="912" t="s">
        <v>1116</v>
      </c>
      <c r="H436" s="913" t="s">
        <v>1116</v>
      </c>
      <c r="I436" s="715"/>
      <c r="J436" s="715"/>
      <c r="K436" s="162"/>
      <c r="L436" s="162"/>
      <c r="M436" s="162"/>
      <c r="N436" s="162"/>
      <c r="O436" s="162"/>
      <c r="P436" s="162"/>
      <c r="Q436" s="162"/>
      <c r="R436" s="162"/>
      <c r="S436" s="162"/>
      <c r="T436" s="162"/>
      <c r="U436" s="162"/>
      <c r="V436" s="162"/>
      <c r="W436" s="162"/>
      <c r="X436" s="162"/>
      <c r="Y436" s="162"/>
      <c r="Z436" s="162"/>
      <c r="AA436" s="162"/>
      <c r="AB436" s="162"/>
      <c r="AC436" s="162"/>
      <c r="AD436" s="162"/>
    </row>
    <row r="437" spans="1:30">
      <c r="A437" s="694" t="s">
        <v>1103</v>
      </c>
      <c r="B437" s="694" t="s">
        <v>1103</v>
      </c>
      <c r="C437" s="916">
        <v>0</v>
      </c>
      <c r="D437" s="911">
        <v>0.02</v>
      </c>
      <c r="E437" s="911" t="s">
        <v>1116</v>
      </c>
      <c r="F437" s="912" t="s">
        <v>1116</v>
      </c>
      <c r="G437" s="912" t="s">
        <v>1116</v>
      </c>
      <c r="H437" s="913" t="s">
        <v>1116</v>
      </c>
      <c r="I437" s="715"/>
      <c r="J437" s="715"/>
      <c r="K437" s="162"/>
      <c r="L437" s="162"/>
      <c r="M437" s="162"/>
      <c r="N437" s="162"/>
      <c r="O437" s="162"/>
      <c r="P437" s="162"/>
      <c r="Q437" s="162"/>
      <c r="R437" s="162"/>
      <c r="S437" s="162"/>
      <c r="T437" s="162"/>
      <c r="U437" s="162"/>
      <c r="V437" s="162"/>
      <c r="W437" s="162"/>
      <c r="X437" s="162"/>
      <c r="Y437" s="162"/>
      <c r="Z437" s="162"/>
      <c r="AA437" s="162"/>
      <c r="AB437" s="162"/>
      <c r="AC437" s="162"/>
      <c r="AD437" s="162"/>
    </row>
    <row r="438" spans="1:30">
      <c r="A438" s="694" t="s">
        <v>1104</v>
      </c>
      <c r="B438" s="694" t="s">
        <v>1104</v>
      </c>
      <c r="C438" s="911">
        <v>0.03</v>
      </c>
      <c r="D438" s="911">
        <v>0.02</v>
      </c>
      <c r="E438" s="911">
        <v>0.7</v>
      </c>
      <c r="F438" s="912" t="s">
        <v>1116</v>
      </c>
      <c r="G438" s="912" t="s">
        <v>1116</v>
      </c>
      <c r="H438" s="913" t="s">
        <v>1116</v>
      </c>
      <c r="I438" s="715"/>
      <c r="J438" s="715"/>
      <c r="K438" s="162"/>
      <c r="L438" s="162"/>
      <c r="M438" s="162"/>
      <c r="N438" s="162"/>
      <c r="O438" s="162"/>
      <c r="P438" s="162"/>
      <c r="Q438" s="162"/>
      <c r="R438" s="162"/>
      <c r="S438" s="162"/>
      <c r="T438" s="162"/>
      <c r="U438" s="162"/>
      <c r="V438" s="162"/>
      <c r="W438" s="162"/>
      <c r="X438" s="162"/>
      <c r="Y438" s="162"/>
      <c r="Z438" s="162"/>
      <c r="AA438" s="162"/>
      <c r="AB438" s="162"/>
      <c r="AC438" s="162"/>
      <c r="AD438" s="162"/>
    </row>
    <row r="439" spans="1:30">
      <c r="A439" s="694" t="s">
        <v>1105</v>
      </c>
      <c r="B439" s="694" t="s">
        <v>1105</v>
      </c>
      <c r="C439" s="911" t="s">
        <v>1116</v>
      </c>
      <c r="D439" s="911">
        <v>0.02</v>
      </c>
      <c r="E439" s="911" t="s">
        <v>1116</v>
      </c>
      <c r="F439" s="912" t="s">
        <v>1116</v>
      </c>
      <c r="G439" s="912" t="s">
        <v>1116</v>
      </c>
      <c r="H439" s="913" t="s">
        <v>1116</v>
      </c>
      <c r="I439" s="715"/>
      <c r="J439" s="715"/>
      <c r="K439" s="162"/>
      <c r="L439" s="162"/>
      <c r="M439" s="162"/>
      <c r="N439" s="162"/>
      <c r="O439" s="162"/>
      <c r="P439" s="162"/>
      <c r="Q439" s="162"/>
      <c r="R439" s="162"/>
      <c r="S439" s="162"/>
      <c r="T439" s="162"/>
      <c r="U439" s="162"/>
      <c r="V439" s="162"/>
      <c r="W439" s="162"/>
      <c r="X439" s="162"/>
      <c r="Y439" s="162"/>
      <c r="Z439" s="162"/>
      <c r="AA439" s="162"/>
      <c r="AB439" s="162"/>
      <c r="AC439" s="162"/>
      <c r="AD439" s="162"/>
    </row>
    <row r="440" spans="1:30">
      <c r="A440" s="694" t="s">
        <v>1106</v>
      </c>
      <c r="B440" s="694" t="s">
        <v>1106</v>
      </c>
      <c r="C440" s="911">
        <v>0.05</v>
      </c>
      <c r="D440" s="911">
        <v>0.02</v>
      </c>
      <c r="E440" s="911" t="s">
        <v>1116</v>
      </c>
      <c r="F440" s="912" t="s">
        <v>1116</v>
      </c>
      <c r="G440" s="912" t="s">
        <v>1116</v>
      </c>
      <c r="H440" s="913" t="s">
        <v>1116</v>
      </c>
      <c r="I440" s="715"/>
      <c r="J440" s="715"/>
      <c r="K440" s="162"/>
      <c r="L440" s="162"/>
      <c r="M440" s="162"/>
      <c r="N440" s="162"/>
      <c r="O440" s="162"/>
      <c r="P440" s="162"/>
      <c r="Q440" s="162"/>
      <c r="R440" s="162"/>
      <c r="S440" s="162"/>
      <c r="T440" s="162"/>
      <c r="U440" s="162"/>
      <c r="V440" s="162"/>
      <c r="W440" s="162"/>
      <c r="X440" s="162"/>
      <c r="Y440" s="162"/>
      <c r="Z440" s="162"/>
      <c r="AA440" s="162"/>
      <c r="AB440" s="162"/>
      <c r="AC440" s="162"/>
      <c r="AD440" s="162"/>
    </row>
    <row r="441" spans="1:30">
      <c r="A441" s="694" t="s">
        <v>1107</v>
      </c>
      <c r="B441" s="694" t="s">
        <v>1107</v>
      </c>
      <c r="C441" s="911" t="s">
        <v>1116</v>
      </c>
      <c r="D441" s="911">
        <v>0.02</v>
      </c>
      <c r="E441" s="911">
        <v>0.28999999999999998</v>
      </c>
      <c r="F441" s="912" t="s">
        <v>1116</v>
      </c>
      <c r="G441" s="912" t="s">
        <v>1116</v>
      </c>
      <c r="H441" s="913" t="s">
        <v>1116</v>
      </c>
      <c r="I441" s="715"/>
      <c r="J441" s="715"/>
      <c r="K441" s="162"/>
      <c r="L441" s="162"/>
      <c r="M441" s="162"/>
      <c r="N441" s="162"/>
      <c r="O441" s="162"/>
      <c r="P441" s="162"/>
      <c r="Q441" s="162"/>
      <c r="R441" s="162"/>
      <c r="S441" s="162"/>
      <c r="T441" s="162"/>
      <c r="U441" s="162"/>
      <c r="V441" s="162"/>
      <c r="W441" s="162"/>
      <c r="X441" s="162"/>
      <c r="Y441" s="162"/>
      <c r="Z441" s="162"/>
      <c r="AA441" s="162"/>
      <c r="AB441" s="162"/>
      <c r="AC441" s="162"/>
      <c r="AD441" s="162"/>
    </row>
    <row r="442" spans="1:30" ht="13.5" thickBot="1">
      <c r="A442" s="695" t="s">
        <v>1108</v>
      </c>
      <c r="B442" s="695" t="s">
        <v>1108</v>
      </c>
      <c r="C442" s="917" t="s">
        <v>1116</v>
      </c>
      <c r="D442" s="917">
        <v>0.18</v>
      </c>
      <c r="E442" s="917">
        <v>0.08</v>
      </c>
      <c r="F442" s="918" t="s">
        <v>1116</v>
      </c>
      <c r="G442" s="918" t="s">
        <v>1116</v>
      </c>
      <c r="H442" s="919" t="s">
        <v>1116</v>
      </c>
      <c r="I442" s="715"/>
      <c r="J442" s="715"/>
      <c r="K442" s="162"/>
      <c r="L442" s="162"/>
      <c r="M442" s="162"/>
      <c r="N442" s="162"/>
      <c r="O442" s="162"/>
      <c r="P442" s="162"/>
      <c r="Q442" s="162"/>
      <c r="R442" s="162"/>
      <c r="S442" s="162"/>
      <c r="T442" s="162"/>
      <c r="U442" s="162"/>
      <c r="V442" s="162"/>
      <c r="W442" s="162"/>
      <c r="X442" s="162"/>
      <c r="Y442" s="162"/>
      <c r="Z442" s="162"/>
      <c r="AA442" s="162"/>
      <c r="AB442" s="162"/>
      <c r="AC442" s="162"/>
      <c r="AD442" s="162"/>
    </row>
    <row r="443" spans="1:30" ht="92.25" customHeight="1">
      <c r="A443" s="1307" t="s">
        <v>1210</v>
      </c>
      <c r="B443" s="1307"/>
      <c r="C443" s="1307"/>
      <c r="D443" s="1307"/>
      <c r="E443" s="1307"/>
      <c r="F443" s="1307"/>
      <c r="G443" s="1307"/>
      <c r="H443" s="1307"/>
      <c r="I443" s="1307"/>
      <c r="J443" s="1307"/>
      <c r="K443" s="162"/>
      <c r="L443" s="162"/>
      <c r="M443" s="162"/>
      <c r="N443" s="162"/>
      <c r="O443" s="162"/>
      <c r="P443" s="162"/>
      <c r="Q443" s="162"/>
      <c r="R443" s="162"/>
      <c r="S443" s="162"/>
      <c r="T443" s="162"/>
      <c r="U443" s="162"/>
      <c r="V443" s="162"/>
      <c r="W443" s="162"/>
      <c r="X443" s="162"/>
      <c r="Y443" s="162"/>
      <c r="Z443" s="162"/>
      <c r="AA443" s="162"/>
      <c r="AB443" s="162"/>
      <c r="AC443" s="162"/>
      <c r="AD443" s="162"/>
    </row>
    <row r="444" spans="1:30">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row>
    <row r="445" spans="1:30">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row>
    <row r="446" spans="1:30">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row>
    <row r="447" spans="1:30">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row>
    <row r="448" spans="1:30">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row>
    <row r="449" spans="1:30">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row>
    <row r="450" spans="1:30">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row>
    <row r="451" spans="1:30">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row>
    <row r="452" spans="1:30">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row>
    <row r="453" spans="1:30">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row>
    <row r="454" spans="1:30">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row>
    <row r="455" spans="1:30">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row>
    <row r="456" spans="1:30">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row>
    <row r="457" spans="1:30">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row>
    <row r="458" spans="1:30">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row>
    <row r="459" spans="1:30">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row>
    <row r="460" spans="1:30">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row>
    <row r="461" spans="1:30">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row>
    <row r="462" spans="1:30">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row>
    <row r="463" spans="1:30">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row>
    <row r="464" spans="1:30">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row>
    <row r="465" spans="1:30">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row>
    <row r="466" spans="1:30">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row>
    <row r="467" spans="1:30">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row>
  </sheetData>
  <sheetProtection sheet="1" objects="1" scenarios="1"/>
  <mergeCells count="229">
    <mergeCell ref="F186:I186"/>
    <mergeCell ref="E85:H85"/>
    <mergeCell ref="E86:H86"/>
    <mergeCell ref="E87:H87"/>
    <mergeCell ref="E114:H114"/>
    <mergeCell ref="E115:H115"/>
    <mergeCell ref="E116:H116"/>
    <mergeCell ref="E146:H146"/>
    <mergeCell ref="E147:H147"/>
    <mergeCell ref="E148:H148"/>
    <mergeCell ref="E103:H103"/>
    <mergeCell ref="E96:H96"/>
    <mergeCell ref="E109:H109"/>
    <mergeCell ref="E140:H140"/>
    <mergeCell ref="E112:H112"/>
    <mergeCell ref="E124:H124"/>
    <mergeCell ref="E125:H125"/>
    <mergeCell ref="E142:H142"/>
    <mergeCell ref="E143:H143"/>
    <mergeCell ref="E141:H141"/>
    <mergeCell ref="E145:H145"/>
    <mergeCell ref="F167:I167"/>
    <mergeCell ref="E144:H144"/>
    <mergeCell ref="E133:H133"/>
    <mergeCell ref="A341:C341"/>
    <mergeCell ref="A342:C342"/>
    <mergeCell ref="A326:C326"/>
    <mergeCell ref="A327:C327"/>
    <mergeCell ref="A328:C328"/>
    <mergeCell ref="A329:C329"/>
    <mergeCell ref="A330:C330"/>
    <mergeCell ref="A331:C331"/>
    <mergeCell ref="A332:C332"/>
    <mergeCell ref="A333:C333"/>
    <mergeCell ref="A335:C335"/>
    <mergeCell ref="A336:C336"/>
    <mergeCell ref="A337:C337"/>
    <mergeCell ref="A338:C338"/>
    <mergeCell ref="A339:C339"/>
    <mergeCell ref="A340:C340"/>
    <mergeCell ref="A319:C319"/>
    <mergeCell ref="C288:E288"/>
    <mergeCell ref="C295:E295"/>
    <mergeCell ref="C309:E309"/>
    <mergeCell ref="C306:E306"/>
    <mergeCell ref="C307:E307"/>
    <mergeCell ref="C308:E308"/>
    <mergeCell ref="C298:E298"/>
    <mergeCell ref="F176:I176"/>
    <mergeCell ref="F177:I177"/>
    <mergeCell ref="F187:I187"/>
    <mergeCell ref="F188:I188"/>
    <mergeCell ref="F189:I189"/>
    <mergeCell ref="F190:I190"/>
    <mergeCell ref="F178:I178"/>
    <mergeCell ref="F179:I179"/>
    <mergeCell ref="F180:I180"/>
    <mergeCell ref="F181:I181"/>
    <mergeCell ref="F182:I182"/>
    <mergeCell ref="F183:I183"/>
    <mergeCell ref="F184:I184"/>
    <mergeCell ref="F185:I185"/>
    <mergeCell ref="C286:E286"/>
    <mergeCell ref="C283:E283"/>
    <mergeCell ref="E73:H73"/>
    <mergeCell ref="E121:H121"/>
    <mergeCell ref="E119:H119"/>
    <mergeCell ref="E152:H152"/>
    <mergeCell ref="E154:H154"/>
    <mergeCell ref="E76:H76"/>
    <mergeCell ref="E75:H75"/>
    <mergeCell ref="E83:H83"/>
    <mergeCell ref="E130:H130"/>
    <mergeCell ref="E113:H113"/>
    <mergeCell ref="E90:H90"/>
    <mergeCell ref="E92:H92"/>
    <mergeCell ref="E104:H104"/>
    <mergeCell ref="E91:H91"/>
    <mergeCell ref="E97:H97"/>
    <mergeCell ref="E98:H98"/>
    <mergeCell ref="E88:H88"/>
    <mergeCell ref="E89:H89"/>
    <mergeCell ref="E93:H93"/>
    <mergeCell ref="E95:H95"/>
    <mergeCell ref="E101:H101"/>
    <mergeCell ref="E102:H102"/>
    <mergeCell ref="E105:H105"/>
    <mergeCell ref="E106:H106"/>
    <mergeCell ref="E107:H107"/>
    <mergeCell ref="E108:H108"/>
    <mergeCell ref="E120:H120"/>
    <mergeCell ref="E151:H151"/>
    <mergeCell ref="E94:H94"/>
    <mergeCell ref="E136:H136"/>
    <mergeCell ref="E137:H137"/>
    <mergeCell ref="E138:H138"/>
    <mergeCell ref="E139:H139"/>
    <mergeCell ref="E117:H117"/>
    <mergeCell ref="E110:H110"/>
    <mergeCell ref="E111:H111"/>
    <mergeCell ref="E131:H131"/>
    <mergeCell ref="E132:H132"/>
    <mergeCell ref="E126:H126"/>
    <mergeCell ref="E127:H127"/>
    <mergeCell ref="E128:H128"/>
    <mergeCell ref="E129:H129"/>
    <mergeCell ref="E134:H134"/>
    <mergeCell ref="E99:H99"/>
    <mergeCell ref="E100:H100"/>
    <mergeCell ref="A54:E54"/>
    <mergeCell ref="E70:H70"/>
    <mergeCell ref="E71:H71"/>
    <mergeCell ref="E72:H72"/>
    <mergeCell ref="E79:H79"/>
    <mergeCell ref="E80:H80"/>
    <mergeCell ref="E81:H81"/>
    <mergeCell ref="E82:H82"/>
    <mergeCell ref="E57:H57"/>
    <mergeCell ref="E58:H58"/>
    <mergeCell ref="E59:H59"/>
    <mergeCell ref="E69:H69"/>
    <mergeCell ref="E61:H61"/>
    <mergeCell ref="E62:H62"/>
    <mergeCell ref="E63:H63"/>
    <mergeCell ref="E64:H64"/>
    <mergeCell ref="E65:H65"/>
    <mergeCell ref="E66:H66"/>
    <mergeCell ref="E67:H67"/>
    <mergeCell ref="E60:H60"/>
    <mergeCell ref="E68:H68"/>
    <mergeCell ref="E77:H77"/>
    <mergeCell ref="E78:H78"/>
    <mergeCell ref="E74:H74"/>
    <mergeCell ref="B157:B159"/>
    <mergeCell ref="B160:B162"/>
    <mergeCell ref="A163:A164"/>
    <mergeCell ref="E122:H122"/>
    <mergeCell ref="E123:H123"/>
    <mergeCell ref="E135:H135"/>
    <mergeCell ref="E118:H118"/>
    <mergeCell ref="F156:I156"/>
    <mergeCell ref="F160:I160"/>
    <mergeCell ref="F161:I161"/>
    <mergeCell ref="E149:H149"/>
    <mergeCell ref="A157:A159"/>
    <mergeCell ref="A160:A162"/>
    <mergeCell ref="A152:A154"/>
    <mergeCell ref="F157:I157"/>
    <mergeCell ref="F158:I158"/>
    <mergeCell ref="F159:I159"/>
    <mergeCell ref="F170:I170"/>
    <mergeCell ref="F171:I171"/>
    <mergeCell ref="F172:I172"/>
    <mergeCell ref="F173:I173"/>
    <mergeCell ref="F174:I174"/>
    <mergeCell ref="F175:I175"/>
    <mergeCell ref="F162:I162"/>
    <mergeCell ref="F163:I163"/>
    <mergeCell ref="F164:I164"/>
    <mergeCell ref="F165:I165"/>
    <mergeCell ref="F166:I166"/>
    <mergeCell ref="F168:I168"/>
    <mergeCell ref="F169:I169"/>
    <mergeCell ref="C305:E305"/>
    <mergeCell ref="C281:E281"/>
    <mergeCell ref="C296:E296"/>
    <mergeCell ref="C297:E297"/>
    <mergeCell ref="C292:E292"/>
    <mergeCell ref="C287:E287"/>
    <mergeCell ref="B163:B164"/>
    <mergeCell ref="A165:A169"/>
    <mergeCell ref="C280:E280"/>
    <mergeCell ref="C279:E279"/>
    <mergeCell ref="A269:B270"/>
    <mergeCell ref="A207:A212"/>
    <mergeCell ref="A185:A190"/>
    <mergeCell ref="C277:E277"/>
    <mergeCell ref="C278:E278"/>
    <mergeCell ref="A201:A206"/>
    <mergeCell ref="C284:E284"/>
    <mergeCell ref="C282:E282"/>
    <mergeCell ref="A343:C343"/>
    <mergeCell ref="A344:C344"/>
    <mergeCell ref="A345:C345"/>
    <mergeCell ref="A325:C325"/>
    <mergeCell ref="A224:A226"/>
    <mergeCell ref="A227:A229"/>
    <mergeCell ref="A230:A233"/>
    <mergeCell ref="A170:A174"/>
    <mergeCell ref="A175:A178"/>
    <mergeCell ref="A179:A184"/>
    <mergeCell ref="C273:E273"/>
    <mergeCell ref="A213:A216"/>
    <mergeCell ref="A217:A219"/>
    <mergeCell ref="A220:A223"/>
    <mergeCell ref="A194:A197"/>
    <mergeCell ref="A199:A200"/>
    <mergeCell ref="C285:E285"/>
    <mergeCell ref="C274:E274"/>
    <mergeCell ref="C275:E275"/>
    <mergeCell ref="C276:E276"/>
    <mergeCell ref="C300:E300"/>
    <mergeCell ref="C301:E301"/>
    <mergeCell ref="C302:E302"/>
    <mergeCell ref="C303:E303"/>
    <mergeCell ref="A5:H5"/>
    <mergeCell ref="E84:H84"/>
    <mergeCell ref="E150:H150"/>
    <mergeCell ref="E153:H153"/>
    <mergeCell ref="C381:H381"/>
    <mergeCell ref="A443:J443"/>
    <mergeCell ref="A378:E378"/>
    <mergeCell ref="F318:G318"/>
    <mergeCell ref="A318:C318"/>
    <mergeCell ref="A317:C317"/>
    <mergeCell ref="C289:E289"/>
    <mergeCell ref="C290:E290"/>
    <mergeCell ref="C291:E291"/>
    <mergeCell ref="F317:G317"/>
    <mergeCell ref="C293:E293"/>
    <mergeCell ref="C294:E294"/>
    <mergeCell ref="A310:H310"/>
    <mergeCell ref="C304:E304"/>
    <mergeCell ref="C299:E299"/>
    <mergeCell ref="A320:C320"/>
    <mergeCell ref="A321:C321"/>
    <mergeCell ref="A322:C322"/>
    <mergeCell ref="A323:C323"/>
    <mergeCell ref="A324:C324"/>
  </mergeCells>
  <hyperlinks>
    <hyperlink ref="A7" r:id="rId1" xr:uid="{00000000-0004-0000-1200-000000000000}"/>
  </hyperlinks>
  <pageMargins left="0.7" right="0.7" top="0.75" bottom="0.75" header="0.3" footer="0.3"/>
  <pageSetup scale="61" orientation="portrait" r:id="rId2"/>
  <colBreaks count="1" manualBreakCount="1">
    <brk id="9" max="1048575" man="1"/>
  </colBreaks>
  <drawing r:id="rId3"/>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CF56"/>
  <sheetViews>
    <sheetView zoomScale="80" zoomScaleNormal="80" workbookViewId="0"/>
  </sheetViews>
  <sheetFormatPr defaultColWidth="11.42578125" defaultRowHeight="12.75"/>
  <cols>
    <col min="1" max="1" width="20.42578125" customWidth="1"/>
    <col min="2" max="2" width="24.42578125" bestFit="1" customWidth="1"/>
    <col min="3" max="3" width="28.140625" bestFit="1" customWidth="1"/>
    <col min="4" max="4" width="35.42578125" customWidth="1"/>
    <col min="5" max="5" width="44.85546875" customWidth="1"/>
    <col min="6" max="6" width="30.85546875" customWidth="1"/>
    <col min="7" max="7" width="11.42578125" customWidth="1"/>
    <col min="8" max="8" width="17.140625" customWidth="1"/>
    <col min="9" max="10" width="11.42578125" customWidth="1"/>
    <col min="11" max="11" width="29.42578125" customWidth="1"/>
    <col min="12" max="12" width="28.140625" customWidth="1"/>
    <col min="13" max="13" width="20.85546875" customWidth="1"/>
    <col min="14" max="14" width="27.42578125" customWidth="1"/>
    <col min="15" max="15" width="35.140625" customWidth="1"/>
    <col min="16" max="16" width="28.42578125" customWidth="1"/>
    <col min="17" max="17" width="26.140625" customWidth="1"/>
    <col min="18" max="18" width="28.140625" bestFit="1" customWidth="1"/>
    <col min="19" max="19" width="18" customWidth="1"/>
    <col min="44" max="44" width="18.42578125" bestFit="1" customWidth="1"/>
    <col min="45" max="45" width="24.42578125" bestFit="1" customWidth="1"/>
    <col min="46" max="48" width="43" bestFit="1" customWidth="1"/>
    <col min="54" max="54" width="16.85546875" customWidth="1"/>
    <col min="61" max="61" width="12.140625" bestFit="1" customWidth="1"/>
    <col min="62" max="62" width="13.140625" bestFit="1" customWidth="1"/>
    <col min="63" max="63" width="16.85546875" bestFit="1" customWidth="1"/>
    <col min="65" max="65" width="14.42578125" bestFit="1" customWidth="1"/>
    <col min="66" max="66" width="30.140625" bestFit="1" customWidth="1"/>
    <col min="68" max="68" width="13.140625" bestFit="1" customWidth="1"/>
    <col min="69" max="69" width="24.85546875" bestFit="1" customWidth="1"/>
    <col min="70" max="70" width="17.140625" bestFit="1" customWidth="1"/>
    <col min="71" max="71" width="12.42578125" bestFit="1" customWidth="1"/>
    <col min="72" max="72" width="19.85546875" bestFit="1" customWidth="1"/>
    <col min="73" max="73" width="17.140625" bestFit="1" customWidth="1"/>
    <col min="74" max="74" width="16.140625" bestFit="1" customWidth="1"/>
    <col min="79" max="79" width="15.85546875" bestFit="1" customWidth="1"/>
    <col min="80" max="80" width="15.140625" bestFit="1" customWidth="1"/>
    <col min="82" max="82" width="18.85546875" bestFit="1" customWidth="1"/>
    <col min="83" max="83" width="12.42578125" bestFit="1" customWidth="1"/>
    <col min="84" max="84" width="13.42578125" bestFit="1" customWidth="1"/>
  </cols>
  <sheetData>
    <row r="1" spans="1:84">
      <c r="A1" s="742" t="s">
        <v>281</v>
      </c>
      <c r="B1" s="742" t="s">
        <v>318</v>
      </c>
      <c r="C1" s="742" t="s">
        <v>262</v>
      </c>
      <c r="D1" s="742" t="s">
        <v>1241</v>
      </c>
      <c r="E1" s="743" t="s">
        <v>1242</v>
      </c>
      <c r="F1" s="61" t="s">
        <v>249</v>
      </c>
      <c r="G1" s="61" t="s">
        <v>18</v>
      </c>
      <c r="H1" s="138" t="s">
        <v>240</v>
      </c>
      <c r="I1" s="61" t="s">
        <v>241</v>
      </c>
      <c r="J1" s="61" t="s">
        <v>482</v>
      </c>
      <c r="K1" s="61" t="s">
        <v>419</v>
      </c>
      <c r="L1" s="61" t="s">
        <v>242</v>
      </c>
      <c r="M1" s="61" t="s">
        <v>295</v>
      </c>
      <c r="N1" s="61" t="s">
        <v>294</v>
      </c>
      <c r="O1" s="61" t="s">
        <v>296</v>
      </c>
      <c r="P1" s="61" t="s">
        <v>268</v>
      </c>
      <c r="Q1" s="61" t="s">
        <v>288</v>
      </c>
      <c r="R1" s="742" t="s">
        <v>154</v>
      </c>
      <c r="S1" s="61" t="s">
        <v>1336</v>
      </c>
      <c r="T1" s="61" t="s">
        <v>28</v>
      </c>
      <c r="U1" s="61" t="s">
        <v>1013</v>
      </c>
      <c r="V1" s="61" t="s">
        <v>1014</v>
      </c>
      <c r="W1" s="61" t="s">
        <v>144</v>
      </c>
      <c r="X1" s="61"/>
      <c r="Y1" s="945" t="s">
        <v>1050</v>
      </c>
      <c r="Z1" s="945" t="s">
        <v>1051</v>
      </c>
      <c r="AA1" s="945" t="s">
        <v>1052</v>
      </c>
      <c r="AB1" s="945" t="s">
        <v>1053</v>
      </c>
      <c r="AC1" s="945" t="s">
        <v>1054</v>
      </c>
      <c r="AD1" s="945" t="s">
        <v>1055</v>
      </c>
      <c r="AE1" s="945" t="s">
        <v>1056</v>
      </c>
      <c r="AF1" s="945" t="s">
        <v>1057</v>
      </c>
      <c r="AG1" s="945" t="s">
        <v>1058</v>
      </c>
      <c r="AH1" s="945" t="s">
        <v>1059</v>
      </c>
      <c r="AI1" s="945" t="s">
        <v>1060</v>
      </c>
      <c r="AJ1" s="945" t="s">
        <v>1061</v>
      </c>
      <c r="AK1" s="945" t="s">
        <v>1062</v>
      </c>
      <c r="AL1" s="945" t="s">
        <v>1063</v>
      </c>
      <c r="AM1" s="945" t="s">
        <v>1173</v>
      </c>
      <c r="AN1" s="945" t="s">
        <v>1065</v>
      </c>
      <c r="AO1" s="945" t="s">
        <v>1066</v>
      </c>
      <c r="AP1" s="945" t="s">
        <v>1067</v>
      </c>
      <c r="AQ1" s="945" t="s">
        <v>1068</v>
      </c>
      <c r="AR1" s="945" t="s">
        <v>1069</v>
      </c>
      <c r="AS1" s="945" t="s">
        <v>1172</v>
      </c>
      <c r="AT1" s="945" t="s">
        <v>1171</v>
      </c>
      <c r="AU1" s="945" t="s">
        <v>1166</v>
      </c>
      <c r="AV1" s="945" t="s">
        <v>1073</v>
      </c>
      <c r="AW1" s="945" t="s">
        <v>1074</v>
      </c>
      <c r="AX1" s="945" t="s">
        <v>1075</v>
      </c>
      <c r="AY1" s="945" t="s">
        <v>1076</v>
      </c>
      <c r="AZ1" s="945" t="s">
        <v>1077</v>
      </c>
      <c r="BA1" s="945" t="s">
        <v>1078</v>
      </c>
      <c r="BB1" s="945" t="s">
        <v>1079</v>
      </c>
      <c r="BC1" s="945" t="s">
        <v>1080</v>
      </c>
      <c r="BD1" s="945" t="s">
        <v>1081</v>
      </c>
      <c r="BE1" s="945" t="s">
        <v>1082</v>
      </c>
      <c r="BF1" s="945" t="s">
        <v>1165</v>
      </c>
      <c r="BG1" s="945" t="s">
        <v>1167</v>
      </c>
      <c r="BH1" s="945" t="s">
        <v>1168</v>
      </c>
      <c r="BI1" s="945" t="s">
        <v>1086</v>
      </c>
      <c r="BJ1" s="945" t="s">
        <v>1087</v>
      </c>
      <c r="BK1" s="945" t="s">
        <v>1088</v>
      </c>
      <c r="BL1" s="945" t="s">
        <v>1089</v>
      </c>
      <c r="BM1" s="945" t="s">
        <v>1090</v>
      </c>
      <c r="BN1" s="945" t="s">
        <v>1169</v>
      </c>
      <c r="BO1" s="945" t="s">
        <v>1091</v>
      </c>
      <c r="BP1" s="945" t="s">
        <v>1092</v>
      </c>
      <c r="BQ1" s="945" t="s">
        <v>1093</v>
      </c>
      <c r="BR1" s="945" t="s">
        <v>1170</v>
      </c>
      <c r="BS1" s="945" t="s">
        <v>1095</v>
      </c>
      <c r="BT1" s="945" t="s">
        <v>1096</v>
      </c>
      <c r="BU1" s="945" t="s">
        <v>1174</v>
      </c>
      <c r="BV1" s="945" t="s">
        <v>1098</v>
      </c>
      <c r="BW1" s="945" t="s">
        <v>1099</v>
      </c>
      <c r="BX1" s="945" t="s">
        <v>1100</v>
      </c>
      <c r="BY1" s="945" t="s">
        <v>1101</v>
      </c>
      <c r="BZ1" s="945" t="s">
        <v>1102</v>
      </c>
      <c r="CA1" s="945" t="s">
        <v>1103</v>
      </c>
      <c r="CB1" s="945" t="s">
        <v>1104</v>
      </c>
      <c r="CC1" s="945" t="s">
        <v>1105</v>
      </c>
      <c r="CD1" s="945" t="s">
        <v>1106</v>
      </c>
      <c r="CE1" s="945" t="s">
        <v>1107</v>
      </c>
      <c r="CF1" s="945" t="s">
        <v>1108</v>
      </c>
    </row>
    <row r="2" spans="1:84" ht="15.75">
      <c r="A2" s="3" t="s">
        <v>138</v>
      </c>
      <c r="B2" s="3" t="s">
        <v>618</v>
      </c>
      <c r="C2" s="625" t="s">
        <v>162</v>
      </c>
      <c r="D2" t="s">
        <v>1125</v>
      </c>
      <c r="E2" s="625" t="s">
        <v>1160</v>
      </c>
      <c r="F2" t="s">
        <v>116</v>
      </c>
      <c r="G2" t="s">
        <v>19</v>
      </c>
      <c r="H2" t="s">
        <v>34</v>
      </c>
      <c r="I2" t="s">
        <v>182</v>
      </c>
      <c r="J2" t="s">
        <v>182</v>
      </c>
      <c r="K2" t="str">
        <f>'Emission Factors'!A319</f>
        <v>AKGD (ASCC Alaska Grid)</v>
      </c>
      <c r="L2" s="3" t="s">
        <v>166</v>
      </c>
      <c r="M2" t="s">
        <v>3</v>
      </c>
      <c r="N2" t="str">
        <f>'Emission Factors'!A353</f>
        <v>Intercity Rail - Northeast Corridor</v>
      </c>
      <c r="O2" t="s">
        <v>1321</v>
      </c>
      <c r="P2" s="3" t="s">
        <v>397</v>
      </c>
      <c r="Q2" s="3" t="s">
        <v>656</v>
      </c>
      <c r="R2" s="3" t="s">
        <v>162</v>
      </c>
      <c r="S2" s="625" t="s">
        <v>1014</v>
      </c>
      <c r="T2" s="625" t="s">
        <v>1015</v>
      </c>
      <c r="U2" s="625" t="s">
        <v>1018</v>
      </c>
      <c r="V2" s="625" t="s">
        <v>1019</v>
      </c>
      <c r="W2" t="str">
        <f>'Unit Conversions'!A12</f>
        <v>gram (g)</v>
      </c>
      <c r="Y2" s="713" t="s">
        <v>1111</v>
      </c>
      <c r="Z2" s="713" t="s">
        <v>1111</v>
      </c>
      <c r="AA2" s="713" t="s">
        <v>1111</v>
      </c>
      <c r="AB2" s="713" t="s">
        <v>1111</v>
      </c>
      <c r="AC2" s="713" t="s">
        <v>1111</v>
      </c>
      <c r="AD2" s="713" t="s">
        <v>1111</v>
      </c>
      <c r="AE2" s="713" t="s">
        <v>1112</v>
      </c>
      <c r="AF2" s="713" t="s">
        <v>1111</v>
      </c>
      <c r="AG2" s="713" t="s">
        <v>1112</v>
      </c>
      <c r="AH2" s="713" t="s">
        <v>1112</v>
      </c>
      <c r="AI2" s="713" t="s">
        <v>1112</v>
      </c>
      <c r="AJ2" s="713" t="s">
        <v>1112</v>
      </c>
      <c r="AK2" s="713" t="s">
        <v>1112</v>
      </c>
      <c r="AL2" s="713" t="s">
        <v>1111</v>
      </c>
      <c r="AM2" s="713" t="s">
        <v>1111</v>
      </c>
      <c r="AN2" s="713" t="s">
        <v>1111</v>
      </c>
      <c r="AO2" s="713" t="s">
        <v>1111</v>
      </c>
      <c r="AP2" s="713" t="s">
        <v>1111</v>
      </c>
      <c r="AQ2" s="713" t="s">
        <v>1111</v>
      </c>
      <c r="AR2" s="713" t="s">
        <v>1111</v>
      </c>
      <c r="AS2" s="713" t="s">
        <v>1111</v>
      </c>
      <c r="AT2" s="713" t="s">
        <v>1112</v>
      </c>
      <c r="AU2" s="713" t="s">
        <v>1112</v>
      </c>
      <c r="AV2" s="713" t="s">
        <v>1112</v>
      </c>
      <c r="AW2" s="713" t="s">
        <v>1112</v>
      </c>
      <c r="AX2" s="713" t="s">
        <v>1112</v>
      </c>
      <c r="AY2" s="713" t="s">
        <v>1112</v>
      </c>
      <c r="AZ2" s="713" t="s">
        <v>1112</v>
      </c>
      <c r="BA2" s="713" t="s">
        <v>1112</v>
      </c>
      <c r="BB2" s="713" t="s">
        <v>1112</v>
      </c>
      <c r="BC2" s="713" t="s">
        <v>1112</v>
      </c>
      <c r="BD2" s="713" t="s">
        <v>1112</v>
      </c>
      <c r="BE2" s="713" t="s">
        <v>1112</v>
      </c>
      <c r="BF2" s="713" t="s">
        <v>1111</v>
      </c>
      <c r="BG2" s="713" t="s">
        <v>1111</v>
      </c>
      <c r="BH2" s="713" t="s">
        <v>1111</v>
      </c>
      <c r="BI2" s="713" t="s">
        <v>1111</v>
      </c>
      <c r="BJ2" s="713" t="s">
        <v>1111</v>
      </c>
      <c r="BK2" s="713" t="s">
        <v>1111</v>
      </c>
      <c r="BL2" s="713" t="s">
        <v>1112</v>
      </c>
      <c r="BM2" s="713" t="s">
        <v>1112</v>
      </c>
      <c r="BN2" s="713" t="s">
        <v>1112</v>
      </c>
      <c r="BO2" s="713" t="s">
        <v>1112</v>
      </c>
      <c r="BP2" s="713" t="s">
        <v>1112</v>
      </c>
      <c r="BQ2" s="713" t="s">
        <v>1112</v>
      </c>
      <c r="BR2" s="713" t="s">
        <v>1112</v>
      </c>
      <c r="BS2" s="713" t="s">
        <v>1112</v>
      </c>
      <c r="BT2" s="713" t="s">
        <v>1112</v>
      </c>
      <c r="BU2" s="713" t="s">
        <v>1112</v>
      </c>
      <c r="BV2" s="713" t="s">
        <v>1112</v>
      </c>
      <c r="BW2" s="713" t="s">
        <v>1112</v>
      </c>
      <c r="BX2" s="713" t="s">
        <v>1111</v>
      </c>
      <c r="BY2" s="713" t="s">
        <v>1111</v>
      </c>
      <c r="BZ2" s="713" t="s">
        <v>1111</v>
      </c>
      <c r="CA2" s="713" t="s">
        <v>1111</v>
      </c>
      <c r="CB2" s="713" t="s">
        <v>1111</v>
      </c>
      <c r="CC2" s="713" t="s">
        <v>1112</v>
      </c>
      <c r="CD2" s="713" t="s">
        <v>1111</v>
      </c>
      <c r="CE2" s="713" t="s">
        <v>1112</v>
      </c>
      <c r="CF2" s="713" t="s">
        <v>1112</v>
      </c>
    </row>
    <row r="3" spans="1:84" ht="15.75">
      <c r="A3" s="3" t="s">
        <v>139</v>
      </c>
      <c r="B3" s="3" t="s">
        <v>398</v>
      </c>
      <c r="C3" s="624" t="s">
        <v>163</v>
      </c>
      <c r="D3" t="s">
        <v>1126</v>
      </c>
      <c r="E3" s="624" t="s">
        <v>1212</v>
      </c>
      <c r="F3" t="s">
        <v>88</v>
      </c>
      <c r="G3" t="s">
        <v>120</v>
      </c>
      <c r="H3" t="s">
        <v>199</v>
      </c>
      <c r="I3" t="s">
        <v>120</v>
      </c>
      <c r="J3" s="3" t="s">
        <v>224</v>
      </c>
      <c r="K3" t="str">
        <f>'Emission Factors'!A320</f>
        <v>AKMS (ASCC Miscellaneous)</v>
      </c>
      <c r="L3" s="624" t="s">
        <v>730</v>
      </c>
      <c r="M3" t="s">
        <v>4</v>
      </c>
      <c r="N3" t="str">
        <f>'Emission Factors'!A354</f>
        <v>Intercity Rail - Other Routes</v>
      </c>
      <c r="O3" t="s">
        <v>1322</v>
      </c>
      <c r="P3" t="s">
        <v>4</v>
      </c>
      <c r="Q3" t="s">
        <v>272</v>
      </c>
      <c r="R3" s="624" t="s">
        <v>163</v>
      </c>
      <c r="S3" t="s">
        <v>1014</v>
      </c>
      <c r="T3" t="s">
        <v>1016</v>
      </c>
      <c r="U3" t="s">
        <v>1017</v>
      </c>
      <c r="V3" s="625" t="s">
        <v>1017</v>
      </c>
      <c r="W3" t="str">
        <f>'Unit Conversions'!A13</f>
        <v>kilogram (kg)</v>
      </c>
      <c r="Y3" s="713" t="s">
        <v>1112</v>
      </c>
      <c r="Z3" s="713" t="s">
        <v>1112</v>
      </c>
      <c r="AA3" s="713" t="s">
        <v>1112</v>
      </c>
      <c r="AB3" s="713" t="s">
        <v>1112</v>
      </c>
      <c r="AC3" s="713" t="s">
        <v>1112</v>
      </c>
      <c r="AD3" s="713" t="s">
        <v>1112</v>
      </c>
      <c r="AE3" s="713" t="s">
        <v>158</v>
      </c>
      <c r="AF3" s="713" t="s">
        <v>1112</v>
      </c>
      <c r="AG3" s="713" t="s">
        <v>158</v>
      </c>
      <c r="AH3" s="713" t="s">
        <v>158</v>
      </c>
      <c r="AI3" s="713" t="s">
        <v>158</v>
      </c>
      <c r="AJ3" s="713" t="s">
        <v>158</v>
      </c>
      <c r="AK3" s="713" t="s">
        <v>158</v>
      </c>
      <c r="AL3" s="713" t="s">
        <v>1112</v>
      </c>
      <c r="AM3" s="713" t="s">
        <v>1112</v>
      </c>
      <c r="AN3" s="713" t="s">
        <v>1112</v>
      </c>
      <c r="AO3" s="713" t="s">
        <v>1112</v>
      </c>
      <c r="AP3" s="713" t="s">
        <v>1112</v>
      </c>
      <c r="AQ3" s="713" t="s">
        <v>1112</v>
      </c>
      <c r="AR3" s="713" t="s">
        <v>1112</v>
      </c>
      <c r="AS3" s="713" t="s">
        <v>1112</v>
      </c>
      <c r="AT3" s="713" t="s">
        <v>158</v>
      </c>
      <c r="AU3" s="713" t="s">
        <v>158</v>
      </c>
      <c r="AV3" s="713" t="s">
        <v>158</v>
      </c>
      <c r="AW3" s="713" t="s">
        <v>158</v>
      </c>
      <c r="AX3" s="713" t="s">
        <v>158</v>
      </c>
      <c r="AY3" s="713" t="s">
        <v>158</v>
      </c>
      <c r="AZ3" s="713" t="s">
        <v>158</v>
      </c>
      <c r="BA3" s="713" t="s">
        <v>158</v>
      </c>
      <c r="BB3" s="713" t="s">
        <v>158</v>
      </c>
      <c r="BC3" s="713" t="s">
        <v>158</v>
      </c>
      <c r="BD3" s="713" t="s">
        <v>158</v>
      </c>
      <c r="BE3" s="713" t="s">
        <v>158</v>
      </c>
      <c r="BF3" s="713" t="s">
        <v>1112</v>
      </c>
      <c r="BG3" s="713" t="s">
        <v>1112</v>
      </c>
      <c r="BH3" s="713" t="s">
        <v>1112</v>
      </c>
      <c r="BI3" s="713" t="s">
        <v>1112</v>
      </c>
      <c r="BJ3" s="713" t="s">
        <v>1112</v>
      </c>
      <c r="BK3" s="713" t="s">
        <v>1112</v>
      </c>
      <c r="BL3" s="713" t="s">
        <v>158</v>
      </c>
      <c r="BM3" s="713" t="s">
        <v>158</v>
      </c>
      <c r="BN3" s="713" t="s">
        <v>158</v>
      </c>
      <c r="BO3" s="713" t="s">
        <v>158</v>
      </c>
      <c r="BP3" s="713" t="s">
        <v>158</v>
      </c>
      <c r="BQ3" s="713" t="s">
        <v>158</v>
      </c>
      <c r="BR3" s="713" t="s">
        <v>158</v>
      </c>
      <c r="BS3" s="713" t="s">
        <v>158</v>
      </c>
      <c r="BT3" s="713" t="s">
        <v>158</v>
      </c>
      <c r="BU3" s="713" t="s">
        <v>158</v>
      </c>
      <c r="BV3" s="713" t="s">
        <v>158</v>
      </c>
      <c r="BW3" s="711"/>
      <c r="BX3" s="713" t="s">
        <v>1112</v>
      </c>
      <c r="BY3" s="713" t="s">
        <v>1112</v>
      </c>
      <c r="BZ3" s="713" t="s">
        <v>1112</v>
      </c>
      <c r="CA3" s="713" t="s">
        <v>1112</v>
      </c>
      <c r="CB3" s="713" t="s">
        <v>1112</v>
      </c>
      <c r="CC3" s="713"/>
      <c r="CD3" s="713" t="s">
        <v>1112</v>
      </c>
      <c r="CE3" s="713" t="s">
        <v>158</v>
      </c>
      <c r="CF3" s="713" t="s">
        <v>158</v>
      </c>
    </row>
    <row r="4" spans="1:84">
      <c r="A4" s="3" t="s">
        <v>277</v>
      </c>
      <c r="B4" s="3" t="s">
        <v>319</v>
      </c>
      <c r="C4" s="624" t="s">
        <v>164</v>
      </c>
      <c r="D4" t="s">
        <v>1127</v>
      </c>
      <c r="E4" s="624" t="s">
        <v>1213</v>
      </c>
      <c r="F4" t="s">
        <v>84</v>
      </c>
      <c r="G4" t="s">
        <v>121</v>
      </c>
      <c r="I4" t="s">
        <v>122</v>
      </c>
      <c r="J4" t="s">
        <v>483</v>
      </c>
      <c r="K4" t="str">
        <f>'Emission Factors'!A321</f>
        <v>AZNM (WECC Southwest)</v>
      </c>
      <c r="L4" s="624" t="s">
        <v>731</v>
      </c>
      <c r="M4" t="s">
        <v>5</v>
      </c>
      <c r="N4" t="str">
        <f>'Emission Factors'!A355</f>
        <v>Intercity Rail - National Average</v>
      </c>
      <c r="O4" t="s">
        <v>1323</v>
      </c>
      <c r="P4" t="s">
        <v>3</v>
      </c>
      <c r="Q4" t="s">
        <v>205</v>
      </c>
      <c r="R4" s="624" t="s">
        <v>164</v>
      </c>
      <c r="S4" t="s">
        <v>1014</v>
      </c>
      <c r="T4" t="s">
        <v>1017</v>
      </c>
      <c r="W4" t="str">
        <f>'Unit Conversions'!A14</f>
        <v>metric ton</v>
      </c>
      <c r="Y4" s="713" t="s">
        <v>158</v>
      </c>
      <c r="Z4" s="713" t="s">
        <v>158</v>
      </c>
      <c r="AA4" s="713" t="s">
        <v>158</v>
      </c>
      <c r="AB4" s="713" t="s">
        <v>158</v>
      </c>
      <c r="AC4" s="713" t="s">
        <v>158</v>
      </c>
      <c r="AD4" s="713" t="s">
        <v>158</v>
      </c>
      <c r="AE4" s="710"/>
      <c r="AF4" s="713" t="s">
        <v>158</v>
      </c>
      <c r="AG4" s="710"/>
      <c r="AH4" s="710"/>
      <c r="AI4" s="710"/>
      <c r="AJ4" s="710"/>
      <c r="AK4" s="713" t="s">
        <v>1113</v>
      </c>
      <c r="AL4" s="713" t="s">
        <v>158</v>
      </c>
      <c r="AM4" s="713" t="s">
        <v>158</v>
      </c>
      <c r="AN4" s="713" t="s">
        <v>158</v>
      </c>
      <c r="AO4" s="713" t="s">
        <v>158</v>
      </c>
      <c r="AP4" s="713" t="s">
        <v>158</v>
      </c>
      <c r="AQ4" s="713" t="s">
        <v>158</v>
      </c>
      <c r="AR4" s="713" t="s">
        <v>158</v>
      </c>
      <c r="AS4" s="713" t="s">
        <v>158</v>
      </c>
      <c r="AT4" s="713" t="s">
        <v>1113</v>
      </c>
      <c r="AU4" s="713" t="s">
        <v>1109</v>
      </c>
      <c r="AV4" s="713" t="s">
        <v>1113</v>
      </c>
      <c r="AW4" s="713" t="s">
        <v>1113</v>
      </c>
      <c r="AX4" s="713" t="s">
        <v>1113</v>
      </c>
      <c r="AY4" s="713" t="s">
        <v>1113</v>
      </c>
      <c r="AZ4" s="713" t="s">
        <v>1113</v>
      </c>
      <c r="BA4" s="713" t="s">
        <v>1113</v>
      </c>
      <c r="BB4" s="713" t="s">
        <v>1113</v>
      </c>
      <c r="BC4" s="713" t="s">
        <v>1113</v>
      </c>
      <c r="BD4" s="713" t="s">
        <v>1113</v>
      </c>
      <c r="BE4" s="713" t="s">
        <v>1113</v>
      </c>
      <c r="BF4" s="713" t="s">
        <v>158</v>
      </c>
      <c r="BG4" s="713" t="s">
        <v>158</v>
      </c>
      <c r="BH4" s="713" t="s">
        <v>158</v>
      </c>
      <c r="BI4" s="713" t="s">
        <v>158</v>
      </c>
      <c r="BJ4" s="713" t="s">
        <v>158</v>
      </c>
      <c r="BK4" s="713" t="s">
        <v>158</v>
      </c>
      <c r="BL4" s="713" t="s">
        <v>1113</v>
      </c>
      <c r="BM4" s="713" t="s">
        <v>1113</v>
      </c>
      <c r="BN4" s="712"/>
      <c r="BO4" s="710"/>
      <c r="BP4" s="710"/>
      <c r="BQ4" s="710"/>
      <c r="BR4" s="710"/>
      <c r="BS4" s="710"/>
      <c r="BT4" s="710"/>
      <c r="BU4" s="710"/>
      <c r="BV4" s="710"/>
      <c r="BW4" s="710"/>
      <c r="BX4" s="711"/>
      <c r="BY4" s="711"/>
      <c r="BZ4" s="713" t="s">
        <v>158</v>
      </c>
      <c r="CA4" s="711"/>
      <c r="CB4" s="713" t="s">
        <v>158</v>
      </c>
      <c r="CC4" s="711"/>
      <c r="CD4" s="711"/>
      <c r="CE4" s="710"/>
      <c r="CF4" s="710"/>
    </row>
    <row r="5" spans="1:84" ht="15.75">
      <c r="A5" s="3" t="s">
        <v>278</v>
      </c>
      <c r="B5" s="3" t="s">
        <v>320</v>
      </c>
      <c r="C5" s="625" t="s">
        <v>165</v>
      </c>
      <c r="D5" t="s">
        <v>1128</v>
      </c>
      <c r="E5" s="3" t="s">
        <v>1161</v>
      </c>
      <c r="F5" s="3" t="s">
        <v>117</v>
      </c>
      <c r="G5" t="s">
        <v>122</v>
      </c>
      <c r="I5" t="s">
        <v>123</v>
      </c>
      <c r="J5" s="3" t="s">
        <v>547</v>
      </c>
      <c r="K5" t="str">
        <f>'Emission Factors'!A322</f>
        <v>CAMX (WECC California)</v>
      </c>
      <c r="L5" s="3" t="s">
        <v>169</v>
      </c>
      <c r="N5" t="str">
        <f>'Emission Factors'!A356</f>
        <v>Commuter Rail</v>
      </c>
      <c r="Q5" t="s">
        <v>206</v>
      </c>
      <c r="R5" s="3" t="s">
        <v>165</v>
      </c>
      <c r="S5" t="s">
        <v>1014</v>
      </c>
      <c r="W5" t="str">
        <f>'Unit Conversions'!A15</f>
        <v>pounds (lb)</v>
      </c>
      <c r="Y5" s="710"/>
      <c r="Z5" s="710"/>
      <c r="AA5" s="710"/>
      <c r="AB5" s="710"/>
      <c r="AC5" s="710"/>
      <c r="AD5" s="710"/>
      <c r="AE5" s="710"/>
      <c r="AF5" s="710"/>
      <c r="AG5" s="710"/>
      <c r="AH5" s="710"/>
      <c r="AI5" s="710"/>
      <c r="AJ5" s="710"/>
      <c r="AK5" s="710"/>
      <c r="AL5" s="712"/>
      <c r="AM5" s="712"/>
      <c r="AN5" s="712"/>
      <c r="AO5" s="712"/>
      <c r="AP5" s="712"/>
      <c r="AQ5" s="712"/>
      <c r="AR5" s="712"/>
      <c r="AS5" s="712"/>
      <c r="AT5" s="713" t="s">
        <v>1109</v>
      </c>
      <c r="AU5" s="713" t="s">
        <v>1110</v>
      </c>
      <c r="AV5" s="713" t="s">
        <v>1109</v>
      </c>
      <c r="AW5" s="713" t="s">
        <v>1109</v>
      </c>
      <c r="AX5" s="713" t="s">
        <v>1109</v>
      </c>
      <c r="AY5" s="713" t="s">
        <v>1109</v>
      </c>
      <c r="AZ5" s="713" t="s">
        <v>1109</v>
      </c>
      <c r="BA5" s="713" t="s">
        <v>1109</v>
      </c>
      <c r="BB5" s="713" t="s">
        <v>1109</v>
      </c>
      <c r="BC5" s="713" t="s">
        <v>1109</v>
      </c>
      <c r="BD5" s="713" t="s">
        <v>1109</v>
      </c>
      <c r="BE5" s="713" t="s">
        <v>1109</v>
      </c>
      <c r="BF5" s="712"/>
      <c r="BG5" s="712"/>
      <c r="BH5" s="712"/>
      <c r="BI5" s="712"/>
      <c r="BJ5" s="712"/>
      <c r="BK5" s="712"/>
      <c r="BL5" s="712"/>
      <c r="BM5" s="712"/>
      <c r="BN5" s="712"/>
      <c r="BO5" s="710"/>
      <c r="BP5" s="710"/>
      <c r="BQ5" s="710"/>
      <c r="BR5" s="710"/>
      <c r="BS5" s="710"/>
      <c r="BT5" s="710"/>
      <c r="BU5" s="710"/>
      <c r="BV5" s="710"/>
      <c r="BW5" s="710"/>
      <c r="BX5" s="710"/>
      <c r="BY5" s="710"/>
      <c r="BZ5" s="710"/>
      <c r="CA5" s="710"/>
      <c r="CB5" s="710"/>
      <c r="CC5" s="710"/>
      <c r="CD5" s="710"/>
      <c r="CE5" s="710"/>
      <c r="CF5" s="710"/>
    </row>
    <row r="6" spans="1:84" ht="15.75">
      <c r="A6" s="3" t="s">
        <v>479</v>
      </c>
      <c r="B6" s="3" t="s">
        <v>321</v>
      </c>
      <c r="C6" s="624" t="s">
        <v>1300</v>
      </c>
      <c r="D6" t="s">
        <v>1129</v>
      </c>
      <c r="E6" s="624" t="s">
        <v>1162</v>
      </c>
      <c r="F6" t="s">
        <v>118</v>
      </c>
      <c r="G6" t="s">
        <v>123</v>
      </c>
      <c r="I6" t="s">
        <v>126</v>
      </c>
      <c r="J6" s="3" t="s">
        <v>671</v>
      </c>
      <c r="K6" t="str">
        <f>'Emission Factors'!A323</f>
        <v>ERCT (ERCOT All)</v>
      </c>
      <c r="L6" s="624" t="s">
        <v>733</v>
      </c>
      <c r="N6" t="str">
        <f>'Emission Factors'!A357</f>
        <v>Transit Rail (i.e. Subway, Tram)</v>
      </c>
      <c r="R6" s="624" t="s">
        <v>1300</v>
      </c>
      <c r="S6" t="s">
        <v>1014</v>
      </c>
      <c r="W6" t="str">
        <f>'Unit Conversions'!A16</f>
        <v>short ton</v>
      </c>
      <c r="Y6" s="710"/>
      <c r="Z6" s="710"/>
      <c r="AA6" s="710"/>
      <c r="AB6" s="710"/>
      <c r="AC6" s="710"/>
      <c r="AD6" s="710"/>
      <c r="AE6" s="710"/>
      <c r="AF6" s="710"/>
      <c r="AG6" s="710"/>
      <c r="AH6" s="710"/>
      <c r="AI6" s="710"/>
      <c r="AJ6" s="710"/>
      <c r="AK6" s="710"/>
      <c r="AL6" s="710"/>
      <c r="AM6" s="710"/>
      <c r="AN6" s="710"/>
      <c r="AO6" s="710"/>
      <c r="AP6" s="710"/>
      <c r="AQ6" s="710"/>
      <c r="AR6" s="710"/>
      <c r="AS6" s="710"/>
      <c r="AT6" s="713" t="s">
        <v>1110</v>
      </c>
      <c r="AU6" s="546"/>
      <c r="AV6" s="713" t="s">
        <v>1110</v>
      </c>
      <c r="AW6" s="713" t="s">
        <v>1110</v>
      </c>
      <c r="AX6" s="713" t="s">
        <v>1110</v>
      </c>
      <c r="AY6" s="713" t="s">
        <v>1110</v>
      </c>
      <c r="AZ6" s="713" t="s">
        <v>1110</v>
      </c>
      <c r="BA6" s="713" t="s">
        <v>1110</v>
      </c>
      <c r="BB6" s="712"/>
      <c r="BC6" s="712"/>
      <c r="BD6" s="712"/>
      <c r="BE6" s="712"/>
      <c r="BF6" s="712"/>
      <c r="BG6" s="712"/>
      <c r="BH6" s="712"/>
      <c r="BI6" s="712"/>
      <c r="BJ6" s="712"/>
      <c r="BK6" s="712"/>
      <c r="BL6" s="712"/>
      <c r="BM6" s="712"/>
      <c r="BN6" s="712"/>
      <c r="BO6" s="710"/>
      <c r="BP6" s="710"/>
      <c r="BQ6" s="710"/>
      <c r="BR6" s="710"/>
      <c r="BS6" s="710"/>
      <c r="BT6" s="710"/>
      <c r="BU6" s="710"/>
      <c r="BV6" s="710"/>
      <c r="BW6" s="710"/>
      <c r="BX6" s="710"/>
      <c r="BY6" s="710"/>
      <c r="BZ6" s="710"/>
      <c r="CA6" s="710"/>
      <c r="CB6" s="710"/>
      <c r="CC6" s="710"/>
      <c r="CD6" s="710"/>
      <c r="CE6" s="710"/>
      <c r="CF6" s="710"/>
    </row>
    <row r="7" spans="1:84">
      <c r="A7" s="3" t="s">
        <v>69</v>
      </c>
      <c r="B7" s="3" t="s">
        <v>480</v>
      </c>
      <c r="C7" s="624" t="s">
        <v>728</v>
      </c>
      <c r="D7" t="s">
        <v>1130</v>
      </c>
      <c r="E7" s="624" t="s">
        <v>1158</v>
      </c>
      <c r="F7" t="s">
        <v>119</v>
      </c>
      <c r="G7" t="s">
        <v>124</v>
      </c>
      <c r="I7" t="s">
        <v>127</v>
      </c>
      <c r="J7" t="s">
        <v>120</v>
      </c>
      <c r="K7" t="str">
        <f>'Emission Factors'!A324</f>
        <v>FRCC (FRCC All)</v>
      </c>
      <c r="L7" s="624" t="s">
        <v>162</v>
      </c>
      <c r="N7" t="str">
        <f>'Emission Factors'!A358</f>
        <v>Bus</v>
      </c>
      <c r="R7" s="624" t="s">
        <v>728</v>
      </c>
      <c r="S7" t="s">
        <v>1014</v>
      </c>
      <c r="Y7" s="708"/>
      <c r="Z7" s="708"/>
      <c r="AA7" s="708"/>
      <c r="AB7" s="708"/>
      <c r="AC7" s="708"/>
      <c r="AD7" s="708"/>
      <c r="AF7" s="708"/>
      <c r="AL7" s="708"/>
      <c r="AM7" s="708"/>
      <c r="AN7" s="708"/>
      <c r="AO7" s="708"/>
      <c r="AP7" s="708"/>
      <c r="AQ7" s="708"/>
      <c r="AR7" s="708"/>
      <c r="AS7" s="708"/>
      <c r="BF7" s="709"/>
      <c r="BG7" s="709"/>
      <c r="BH7" s="709"/>
      <c r="BI7" s="709"/>
      <c r="BJ7" s="709"/>
      <c r="BK7" s="709"/>
      <c r="BX7" s="708"/>
      <c r="BY7" s="708"/>
      <c r="BZ7" s="708"/>
      <c r="CA7" s="708"/>
      <c r="CB7" s="708"/>
      <c r="CC7" s="708"/>
      <c r="CD7" s="708"/>
    </row>
    <row r="8" spans="1:84" ht="15.75">
      <c r="A8" s="3" t="s">
        <v>71</v>
      </c>
      <c r="B8" s="3" t="s">
        <v>322</v>
      </c>
      <c r="C8" s="624" t="s">
        <v>1315</v>
      </c>
      <c r="D8" t="s">
        <v>1131</v>
      </c>
      <c r="E8" s="624" t="s">
        <v>1159</v>
      </c>
      <c r="F8" t="s">
        <v>87</v>
      </c>
      <c r="G8" t="s">
        <v>125</v>
      </c>
      <c r="I8" s="3" t="s">
        <v>942</v>
      </c>
      <c r="J8" t="s">
        <v>121</v>
      </c>
      <c r="K8" t="str">
        <f>'Emission Factors'!A325</f>
        <v>HIMS (HICC Miscellaneous)</v>
      </c>
      <c r="L8" s="624" t="s">
        <v>163</v>
      </c>
      <c r="R8" s="624" t="s">
        <v>1315</v>
      </c>
      <c r="S8" t="s">
        <v>1014</v>
      </c>
    </row>
    <row r="9" spans="1:84" ht="15.75">
      <c r="A9" s="3" t="s">
        <v>279</v>
      </c>
      <c r="B9" s="3" t="s">
        <v>323</v>
      </c>
      <c r="C9" s="624" t="s">
        <v>1316</v>
      </c>
      <c r="D9" t="s">
        <v>1132</v>
      </c>
      <c r="E9" s="624" t="s">
        <v>1214</v>
      </c>
      <c r="F9" t="s">
        <v>86</v>
      </c>
      <c r="G9" t="s">
        <v>127</v>
      </c>
      <c r="I9" s="3" t="s">
        <v>549</v>
      </c>
      <c r="J9" t="s">
        <v>122</v>
      </c>
      <c r="K9" t="str">
        <f>'Emission Factors'!A326</f>
        <v>HIOA (HICC Oahu)</v>
      </c>
      <c r="L9" s="624" t="s">
        <v>164</v>
      </c>
      <c r="R9" s="624" t="s">
        <v>1316</v>
      </c>
      <c r="S9" t="s">
        <v>1014</v>
      </c>
    </row>
    <row r="10" spans="1:84" ht="15.75">
      <c r="A10" s="3" t="s">
        <v>280</v>
      </c>
      <c r="B10" s="3" t="s">
        <v>324</v>
      </c>
      <c r="C10" s="624" t="s">
        <v>729</v>
      </c>
      <c r="D10" t="s">
        <v>1133</v>
      </c>
      <c r="E10" s="624" t="s">
        <v>1215</v>
      </c>
      <c r="F10" t="s">
        <v>85</v>
      </c>
      <c r="G10" s="3" t="s">
        <v>942</v>
      </c>
      <c r="J10" t="s">
        <v>123</v>
      </c>
      <c r="K10" t="str">
        <f>'Emission Factors'!A327</f>
        <v>MROE (MRO East)</v>
      </c>
      <c r="L10" s="624" t="s">
        <v>165</v>
      </c>
      <c r="R10" s="624" t="s">
        <v>729</v>
      </c>
      <c r="S10" t="s">
        <v>1014</v>
      </c>
    </row>
    <row r="11" spans="1:84" ht="15.75">
      <c r="A11" s="625" t="s">
        <v>1283</v>
      </c>
      <c r="B11" s="3" t="s">
        <v>325</v>
      </c>
      <c r="C11" s="625" t="s">
        <v>1325</v>
      </c>
      <c r="D11" t="s">
        <v>1134</v>
      </c>
      <c r="E11" s="624" t="s">
        <v>1351</v>
      </c>
      <c r="G11" t="s">
        <v>109</v>
      </c>
      <c r="J11" t="s">
        <v>124</v>
      </c>
      <c r="K11" t="str">
        <f>'Emission Factors'!A328</f>
        <v>MROW (MRO West)</v>
      </c>
      <c r="L11" s="624" t="s">
        <v>728</v>
      </c>
      <c r="R11" s="3" t="s">
        <v>1325</v>
      </c>
      <c r="S11" t="s">
        <v>1014</v>
      </c>
    </row>
    <row r="12" spans="1:84" ht="15.75">
      <c r="A12" s="625" t="s">
        <v>1164</v>
      </c>
      <c r="B12" s="625" t="s">
        <v>1284</v>
      </c>
      <c r="C12" s="625" t="s">
        <v>1326</v>
      </c>
      <c r="D12" t="s">
        <v>1135</v>
      </c>
      <c r="E12" s="625" t="s">
        <v>1352</v>
      </c>
      <c r="G12" t="s">
        <v>110</v>
      </c>
      <c r="J12" t="s">
        <v>125</v>
      </c>
      <c r="K12" t="str">
        <f>'Emission Factors'!A329</f>
        <v>NEWE (NPCC New England)</v>
      </c>
      <c r="L12" s="624" t="s">
        <v>729</v>
      </c>
      <c r="R12" s="3" t="s">
        <v>1326</v>
      </c>
      <c r="S12" t="s">
        <v>1014</v>
      </c>
    </row>
    <row r="13" spans="1:84">
      <c r="A13" s="3" t="s">
        <v>216</v>
      </c>
      <c r="B13" s="3" t="s">
        <v>943</v>
      </c>
      <c r="C13" s="625" t="s">
        <v>1327</v>
      </c>
      <c r="D13" t="s">
        <v>1136</v>
      </c>
      <c r="E13" s="625" t="s">
        <v>1353</v>
      </c>
      <c r="G13" s="3" t="s">
        <v>758</v>
      </c>
      <c r="J13" t="s">
        <v>127</v>
      </c>
      <c r="K13" t="str">
        <f>'Emission Factors'!A330</f>
        <v>NWPP (WECC Northwest)</v>
      </c>
      <c r="L13" s="3" t="s">
        <v>732</v>
      </c>
      <c r="R13" t="s">
        <v>1327</v>
      </c>
      <c r="S13" t="s">
        <v>1014</v>
      </c>
    </row>
    <row r="14" spans="1:84" ht="15.75">
      <c r="B14" s="3" t="s">
        <v>326</v>
      </c>
      <c r="C14" s="625" t="s">
        <v>1102</v>
      </c>
      <c r="D14" t="s">
        <v>1137</v>
      </c>
      <c r="E14" s="3" t="s">
        <v>1216</v>
      </c>
      <c r="G14" s="3" t="s">
        <v>759</v>
      </c>
      <c r="J14" s="3" t="s">
        <v>942</v>
      </c>
      <c r="K14" t="str">
        <f>'Emission Factors'!A331</f>
        <v>NYCW (NPCC NYC/Westchester)</v>
      </c>
      <c r="L14" s="3" t="s">
        <v>734</v>
      </c>
      <c r="R14" t="s">
        <v>1102</v>
      </c>
      <c r="S14" t="s">
        <v>1014</v>
      </c>
    </row>
    <row r="15" spans="1:84" ht="15.75">
      <c r="C15" s="625" t="s">
        <v>1317</v>
      </c>
      <c r="D15" t="s">
        <v>1138</v>
      </c>
      <c r="E15" t="s">
        <v>1217</v>
      </c>
      <c r="G15" s="3" t="s">
        <v>760</v>
      </c>
      <c r="J15" t="s">
        <v>109</v>
      </c>
      <c r="K15" t="str">
        <f>'Emission Factors'!A332</f>
        <v>NYLI (NPCC Long Island)</v>
      </c>
      <c r="R15" t="s">
        <v>1317</v>
      </c>
      <c r="S15" t="s">
        <v>1014</v>
      </c>
    </row>
    <row r="16" spans="1:84" ht="15.75">
      <c r="C16" s="710" t="s">
        <v>1318</v>
      </c>
      <c r="D16" t="s">
        <v>1139</v>
      </c>
      <c r="E16" t="s">
        <v>1218</v>
      </c>
      <c r="G16" s="3" t="s">
        <v>761</v>
      </c>
      <c r="J16" s="3" t="s">
        <v>548</v>
      </c>
      <c r="K16" t="str">
        <f>'Emission Factors'!A333</f>
        <v>NYUP (NPCC Upstate NY)</v>
      </c>
      <c r="R16" t="s">
        <v>1318</v>
      </c>
      <c r="S16" t="s">
        <v>1014</v>
      </c>
    </row>
    <row r="17" spans="3:19" ht="15.75">
      <c r="C17" s="625" t="s">
        <v>1319</v>
      </c>
      <c r="D17" t="s">
        <v>1140</v>
      </c>
      <c r="E17" s="625" t="s">
        <v>1354</v>
      </c>
      <c r="G17" s="3" t="s">
        <v>762</v>
      </c>
      <c r="J17" s="3" t="s">
        <v>549</v>
      </c>
      <c r="K17" t="s">
        <v>1209</v>
      </c>
      <c r="R17" t="s">
        <v>1319</v>
      </c>
      <c r="S17" t="s">
        <v>1014</v>
      </c>
    </row>
    <row r="18" spans="3:19" ht="15.75">
      <c r="C18" s="624" t="s">
        <v>732</v>
      </c>
      <c r="D18" t="s">
        <v>1141</v>
      </c>
      <c r="E18" t="s">
        <v>1355</v>
      </c>
      <c r="G18" s="3" t="s">
        <v>763</v>
      </c>
      <c r="J18" s="3" t="s">
        <v>550</v>
      </c>
      <c r="K18" t="str">
        <f>'Emission Factors'!A335</f>
        <v>RFCE (RFC East)</v>
      </c>
      <c r="R18" t="s">
        <v>732</v>
      </c>
      <c r="S18" t="s">
        <v>1014</v>
      </c>
    </row>
    <row r="19" spans="3:19" ht="15.75">
      <c r="C19" s="624" t="s">
        <v>166</v>
      </c>
      <c r="D19" t="s">
        <v>1142</v>
      </c>
      <c r="E19" s="625" t="s">
        <v>1356</v>
      </c>
      <c r="G19" s="3" t="s">
        <v>764</v>
      </c>
      <c r="J19" s="3" t="s">
        <v>551</v>
      </c>
      <c r="K19" t="str">
        <f>'Emission Factors'!A336</f>
        <v>RFCM (RFC Michigan)</v>
      </c>
      <c r="R19" t="s">
        <v>166</v>
      </c>
      <c r="S19" t="s">
        <v>28</v>
      </c>
    </row>
    <row r="20" spans="3:19" ht="15.75">
      <c r="C20" s="624" t="s">
        <v>1330</v>
      </c>
      <c r="D20" t="s">
        <v>1143</v>
      </c>
      <c r="E20" s="710" t="s">
        <v>1219</v>
      </c>
      <c r="G20" s="3" t="s">
        <v>765</v>
      </c>
      <c r="J20" s="3" t="s">
        <v>552</v>
      </c>
      <c r="K20" t="str">
        <f>'Emission Factors'!A337</f>
        <v>RFCW (RFC West)</v>
      </c>
      <c r="R20" t="s">
        <v>1330</v>
      </c>
      <c r="S20" t="s">
        <v>28</v>
      </c>
    </row>
    <row r="21" spans="3:19">
      <c r="C21" s="624" t="s">
        <v>734</v>
      </c>
      <c r="D21" t="s">
        <v>1144</v>
      </c>
      <c r="E21" s="624" t="s">
        <v>1220</v>
      </c>
      <c r="G21" s="3" t="s">
        <v>766</v>
      </c>
      <c r="J21" s="3" t="s">
        <v>758</v>
      </c>
      <c r="K21" t="str">
        <f>'Emission Factors'!A338</f>
        <v>RMPA (WECC Rockies)</v>
      </c>
      <c r="R21" t="s">
        <v>734</v>
      </c>
      <c r="S21" t="s">
        <v>28</v>
      </c>
    </row>
    <row r="22" spans="3:19">
      <c r="C22" s="624"/>
      <c r="D22" t="s">
        <v>1145</v>
      </c>
      <c r="E22" s="3" t="s">
        <v>1221</v>
      </c>
      <c r="G22" s="3" t="s">
        <v>767</v>
      </c>
      <c r="J22" s="3" t="s">
        <v>759</v>
      </c>
      <c r="K22" t="str">
        <f>'Emission Factors'!A339</f>
        <v>SPNO (SPP North)</v>
      </c>
      <c r="R22" t="s">
        <v>730</v>
      </c>
      <c r="S22" t="s">
        <v>1013</v>
      </c>
    </row>
    <row r="23" spans="3:19">
      <c r="C23" s="625" t="s">
        <v>730</v>
      </c>
      <c r="D23" t="s">
        <v>1146</v>
      </c>
      <c r="E23" s="624" t="s">
        <v>1222</v>
      </c>
      <c r="G23" s="3" t="s">
        <v>768</v>
      </c>
      <c r="J23" s="3" t="s">
        <v>760</v>
      </c>
      <c r="K23" t="str">
        <f>'Emission Factors'!A340</f>
        <v>SPSO (SPP South)</v>
      </c>
      <c r="R23" t="s">
        <v>731</v>
      </c>
      <c r="S23" t="s">
        <v>1013</v>
      </c>
    </row>
    <row r="24" spans="3:19">
      <c r="C24" s="625" t="s">
        <v>731</v>
      </c>
      <c r="D24" t="s">
        <v>1147</v>
      </c>
      <c r="E24" s="624" t="s">
        <v>1223</v>
      </c>
      <c r="G24" s="3" t="s">
        <v>769</v>
      </c>
      <c r="J24" s="3" t="s">
        <v>761</v>
      </c>
      <c r="K24" t="str">
        <f>'Emission Factors'!A341</f>
        <v>SRMV (SERC Mississippi Valley)</v>
      </c>
      <c r="R24" t="s">
        <v>169</v>
      </c>
      <c r="S24" t="s">
        <v>1013</v>
      </c>
    </row>
    <row r="25" spans="3:19">
      <c r="C25" s="625" t="s">
        <v>169</v>
      </c>
      <c r="D25" t="s">
        <v>1148</v>
      </c>
      <c r="E25" s="624" t="s">
        <v>1224</v>
      </c>
      <c r="G25" s="3" t="s">
        <v>770</v>
      </c>
      <c r="J25" s="3" t="s">
        <v>762</v>
      </c>
      <c r="K25" t="str">
        <f>'Emission Factors'!A342</f>
        <v>SRMW (SERC Midwest)</v>
      </c>
      <c r="R25" t="s">
        <v>733</v>
      </c>
      <c r="S25" t="s">
        <v>1013</v>
      </c>
    </row>
    <row r="26" spans="3:19">
      <c r="C26" s="625" t="s">
        <v>733</v>
      </c>
      <c r="D26" t="s">
        <v>1149</v>
      </c>
      <c r="E26" s="624" t="s">
        <v>1225</v>
      </c>
      <c r="G26" s="3" t="s">
        <v>771</v>
      </c>
      <c r="J26" s="3" t="s">
        <v>763</v>
      </c>
      <c r="K26" t="str">
        <f>'Emission Factors'!A343</f>
        <v>SRSO (SERC South)</v>
      </c>
      <c r="R26" t="s">
        <v>737</v>
      </c>
      <c r="S26" t="s">
        <v>1013</v>
      </c>
    </row>
    <row r="27" spans="3:19">
      <c r="C27" s="625" t="s">
        <v>737</v>
      </c>
      <c r="D27" t="s">
        <v>1150</v>
      </c>
      <c r="E27" s="624" t="s">
        <v>1226</v>
      </c>
      <c r="G27" s="3" t="s">
        <v>772</v>
      </c>
      <c r="J27" s="3" t="s">
        <v>764</v>
      </c>
      <c r="K27" t="str">
        <f>'Emission Factors'!A344</f>
        <v>SRTV (SERC Tennessee Valley)</v>
      </c>
      <c r="R27" t="s">
        <v>736</v>
      </c>
      <c r="S27" t="s">
        <v>1013</v>
      </c>
    </row>
    <row r="28" spans="3:19">
      <c r="C28" s="625" t="s">
        <v>736</v>
      </c>
      <c r="D28" t="s">
        <v>1151</v>
      </c>
      <c r="E28" s="3" t="s">
        <v>1227</v>
      </c>
      <c r="G28" s="3" t="s">
        <v>773</v>
      </c>
      <c r="J28" s="3" t="s">
        <v>765</v>
      </c>
      <c r="K28" t="str">
        <f>'Emission Factors'!A345</f>
        <v>SRVC (SERC Virginia/Carolina)</v>
      </c>
      <c r="R28" t="s">
        <v>1334</v>
      </c>
      <c r="S28" t="s">
        <v>1013</v>
      </c>
    </row>
    <row r="29" spans="3:19">
      <c r="C29" s="625" t="s">
        <v>1334</v>
      </c>
      <c r="D29" t="s">
        <v>1152</v>
      </c>
      <c r="E29" s="3" t="s">
        <v>1228</v>
      </c>
      <c r="G29" s="3" t="s">
        <v>774</v>
      </c>
      <c r="J29" s="3" t="s">
        <v>766</v>
      </c>
    </row>
    <row r="30" spans="3:19">
      <c r="D30" t="s">
        <v>1153</v>
      </c>
      <c r="E30" t="s">
        <v>1229</v>
      </c>
      <c r="G30" s="3" t="s">
        <v>775</v>
      </c>
      <c r="J30" s="3" t="s">
        <v>767</v>
      </c>
    </row>
    <row r="31" spans="3:19">
      <c r="D31" t="s">
        <v>1154</v>
      </c>
      <c r="E31" t="s">
        <v>1230</v>
      </c>
      <c r="G31" s="3" t="s">
        <v>776</v>
      </c>
      <c r="J31" s="3" t="s">
        <v>768</v>
      </c>
    </row>
    <row r="32" spans="3:19">
      <c r="D32" t="s">
        <v>1155</v>
      </c>
      <c r="E32" t="s">
        <v>1231</v>
      </c>
      <c r="G32" s="3" t="s">
        <v>777</v>
      </c>
      <c r="J32" s="3" t="s">
        <v>769</v>
      </c>
    </row>
    <row r="33" spans="4:10">
      <c r="D33" t="s">
        <v>1156</v>
      </c>
      <c r="E33" t="s">
        <v>1232</v>
      </c>
      <c r="G33" s="3" t="s">
        <v>778</v>
      </c>
      <c r="J33" s="3" t="s">
        <v>770</v>
      </c>
    </row>
    <row r="34" spans="4:10">
      <c r="D34" t="s">
        <v>1157</v>
      </c>
      <c r="E34" t="s">
        <v>1233</v>
      </c>
      <c r="G34" s="3" t="s">
        <v>779</v>
      </c>
      <c r="J34" s="3" t="s">
        <v>771</v>
      </c>
    </row>
    <row r="35" spans="4:10">
      <c r="E35" t="s">
        <v>1234</v>
      </c>
      <c r="G35" s="3" t="s">
        <v>780</v>
      </c>
      <c r="J35" s="3" t="s">
        <v>772</v>
      </c>
    </row>
    <row r="36" spans="4:10">
      <c r="E36" t="s">
        <v>1235</v>
      </c>
      <c r="G36" s="3" t="s">
        <v>781</v>
      </c>
      <c r="J36" s="3" t="s">
        <v>773</v>
      </c>
    </row>
    <row r="37" spans="4:10">
      <c r="E37" t="s">
        <v>1236</v>
      </c>
      <c r="G37" s="3" t="s">
        <v>782</v>
      </c>
      <c r="J37" s="3" t="s">
        <v>774</v>
      </c>
    </row>
    <row r="38" spans="4:10">
      <c r="E38" t="s">
        <v>1237</v>
      </c>
      <c r="G38" s="3" t="s">
        <v>783</v>
      </c>
      <c r="J38" s="3" t="s">
        <v>775</v>
      </c>
    </row>
    <row r="39" spans="4:10">
      <c r="E39" t="s">
        <v>1238</v>
      </c>
      <c r="G39" s="3" t="s">
        <v>784</v>
      </c>
      <c r="J39" s="3" t="s">
        <v>776</v>
      </c>
    </row>
    <row r="40" spans="4:10">
      <c r="E40" t="s">
        <v>1239</v>
      </c>
      <c r="G40" s="3" t="s">
        <v>785</v>
      </c>
      <c r="J40" s="3" t="s">
        <v>777</v>
      </c>
    </row>
    <row r="41" spans="4:10">
      <c r="E41" t="s">
        <v>1240</v>
      </c>
      <c r="G41" s="3" t="s">
        <v>786</v>
      </c>
      <c r="J41" s="3" t="s">
        <v>778</v>
      </c>
    </row>
    <row r="42" spans="4:10">
      <c r="G42" s="3" t="s">
        <v>787</v>
      </c>
      <c r="J42" s="3" t="s">
        <v>779</v>
      </c>
    </row>
    <row r="43" spans="4:10">
      <c r="G43" s="150" t="s">
        <v>788</v>
      </c>
      <c r="J43" s="3" t="s">
        <v>780</v>
      </c>
    </row>
    <row r="44" spans="4:10">
      <c r="G44" s="150" t="s">
        <v>789</v>
      </c>
      <c r="J44" s="3" t="s">
        <v>781</v>
      </c>
    </row>
    <row r="45" spans="4:10">
      <c r="G45" s="150" t="s">
        <v>790</v>
      </c>
      <c r="J45" s="3" t="s">
        <v>782</v>
      </c>
    </row>
    <row r="46" spans="4:10">
      <c r="G46" s="150" t="s">
        <v>791</v>
      </c>
      <c r="J46" s="3" t="s">
        <v>783</v>
      </c>
    </row>
    <row r="47" spans="4:10">
      <c r="G47" s="3" t="s">
        <v>792</v>
      </c>
      <c r="J47" s="3" t="s">
        <v>784</v>
      </c>
    </row>
    <row r="48" spans="4:10">
      <c r="G48" s="3" t="s">
        <v>793</v>
      </c>
      <c r="J48" s="3" t="s">
        <v>785</v>
      </c>
    </row>
    <row r="49" spans="10:10">
      <c r="J49" s="3" t="s">
        <v>786</v>
      </c>
    </row>
    <row r="50" spans="10:10">
      <c r="J50" s="3" t="s">
        <v>787</v>
      </c>
    </row>
    <row r="51" spans="10:10">
      <c r="J51" s="150" t="s">
        <v>788</v>
      </c>
    </row>
    <row r="52" spans="10:10">
      <c r="J52" s="150" t="s">
        <v>789</v>
      </c>
    </row>
    <row r="53" spans="10:10">
      <c r="J53" s="150" t="s">
        <v>790</v>
      </c>
    </row>
    <row r="54" spans="10:10">
      <c r="J54" s="150" t="s">
        <v>791</v>
      </c>
    </row>
    <row r="55" spans="10:10">
      <c r="J55" s="3" t="s">
        <v>792</v>
      </c>
    </row>
    <row r="56" spans="10:10">
      <c r="J56" s="3" t="s">
        <v>793</v>
      </c>
    </row>
  </sheetData>
  <sheetProtection sheet="1" objects="1" scenarios="1"/>
  <conditionalFormatting sqref="Y2:Z4 CA4 CC4:CD4 BF5:BK5 BW3 BN4:BY4 BF7:BK7 BB6:BK6 BL5:BW6 BX5:CD7 CE4:CF6 Y5:AD7 AE4:AE6 AL5:AS7 AG5:AK6 AF5:AF7 AG4:AJ4">
    <cfRule type="expression" dxfId="0" priority="1">
      <formula>"NA"</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Z87"/>
  <sheetViews>
    <sheetView topLeftCell="A14" zoomScale="80" zoomScaleNormal="80" workbookViewId="0">
      <selection activeCell="E43" sqref="E43"/>
    </sheetView>
  </sheetViews>
  <sheetFormatPr defaultColWidth="8.85546875" defaultRowHeight="12.75"/>
  <cols>
    <col min="2" max="2" width="20.140625" bestFit="1" customWidth="1"/>
    <col min="3" max="3" width="22.42578125" bestFit="1" customWidth="1"/>
    <col min="4" max="4" width="21.140625" customWidth="1"/>
    <col min="5" max="5" width="11.140625" bestFit="1" customWidth="1"/>
  </cols>
  <sheetData>
    <row r="1" spans="1:26"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row>
    <row r="2" spans="1:26"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row>
    <row r="3" spans="1:26" ht="20.25">
      <c r="A3" s="541" t="s">
        <v>408</v>
      </c>
      <c r="B3" s="542"/>
      <c r="C3" s="542"/>
      <c r="D3" s="542"/>
      <c r="E3" s="542"/>
      <c r="F3" s="542"/>
      <c r="G3" s="162"/>
      <c r="H3" s="162"/>
      <c r="I3" s="162"/>
      <c r="J3" s="162"/>
      <c r="K3" s="162"/>
      <c r="L3" s="162"/>
      <c r="M3" s="162"/>
      <c r="N3" s="162"/>
      <c r="O3" s="162"/>
      <c r="P3" s="162"/>
      <c r="Q3" s="162"/>
      <c r="R3" s="162"/>
      <c r="S3" s="162"/>
      <c r="T3" s="162"/>
      <c r="U3" s="162"/>
      <c r="V3" s="162"/>
      <c r="W3" s="162"/>
      <c r="X3" s="162"/>
      <c r="Y3" s="162"/>
      <c r="Z3" s="162"/>
    </row>
    <row r="4" spans="1:26">
      <c r="A4" s="161"/>
      <c r="B4" s="162"/>
      <c r="C4" s="162"/>
      <c r="D4" s="162"/>
      <c r="E4" s="162"/>
      <c r="F4" s="162"/>
      <c r="G4" s="162"/>
      <c r="H4" s="162"/>
      <c r="I4" s="162"/>
      <c r="J4" s="162"/>
      <c r="K4" s="162"/>
      <c r="L4" s="162"/>
      <c r="M4" s="162"/>
      <c r="N4" s="162"/>
      <c r="O4" s="162"/>
      <c r="P4" s="162"/>
      <c r="Q4" s="162"/>
      <c r="R4" s="162"/>
      <c r="S4" s="162"/>
      <c r="T4" s="162"/>
      <c r="U4" s="162"/>
      <c r="V4" s="162"/>
      <c r="W4" s="162"/>
      <c r="X4" s="162"/>
      <c r="Y4" s="162"/>
      <c r="Z4" s="162"/>
    </row>
    <row r="5" spans="1:26" ht="15">
      <c r="A5" s="491" t="s">
        <v>293</v>
      </c>
      <c r="B5" s="487"/>
      <c r="C5" s="487"/>
      <c r="D5" s="487"/>
      <c r="E5" s="487"/>
      <c r="F5" s="487"/>
      <c r="G5" s="487"/>
      <c r="H5" s="487"/>
      <c r="I5" s="162"/>
      <c r="J5" s="162"/>
      <c r="K5" s="162"/>
      <c r="L5" s="162"/>
      <c r="M5" s="162"/>
      <c r="N5" s="162"/>
      <c r="O5" s="162"/>
      <c r="P5" s="162"/>
      <c r="Q5" s="162"/>
      <c r="R5" s="162"/>
      <c r="S5" s="162"/>
      <c r="T5" s="162"/>
      <c r="U5" s="162"/>
      <c r="V5" s="162"/>
      <c r="W5" s="162"/>
      <c r="X5" s="162"/>
      <c r="Y5" s="162"/>
      <c r="Z5" s="162"/>
    </row>
    <row r="6" spans="1:26" ht="27.75" customHeight="1">
      <c r="A6" s="1152" t="s">
        <v>699</v>
      </c>
      <c r="B6" s="1152"/>
      <c r="C6" s="1152"/>
      <c r="D6" s="1152"/>
      <c r="E6" s="1152"/>
      <c r="F6" s="1152"/>
      <c r="G6" s="487"/>
      <c r="H6" s="487"/>
      <c r="I6" s="162"/>
      <c r="J6" s="162"/>
      <c r="K6" s="162"/>
      <c r="L6" s="162"/>
      <c r="M6" s="162"/>
      <c r="N6" s="162"/>
      <c r="O6" s="162"/>
      <c r="P6" s="162"/>
      <c r="Q6" s="162"/>
      <c r="R6" s="162"/>
      <c r="S6" s="162"/>
      <c r="T6" s="162"/>
      <c r="U6" s="162"/>
      <c r="V6" s="162"/>
      <c r="W6" s="162"/>
      <c r="X6" s="162"/>
      <c r="Y6" s="162"/>
      <c r="Z6" s="162"/>
    </row>
    <row r="7" spans="1:26" ht="14.25">
      <c r="A7" s="487"/>
      <c r="B7" s="484"/>
      <c r="C7" s="484"/>
      <c r="D7" s="492"/>
      <c r="E7" s="484"/>
      <c r="F7" s="484"/>
      <c r="G7" s="484"/>
      <c r="H7" s="484"/>
      <c r="I7" s="328"/>
      <c r="J7" s="328"/>
      <c r="K7" s="328"/>
      <c r="L7" s="162"/>
      <c r="M7" s="162"/>
      <c r="N7" s="161"/>
      <c r="O7" s="162"/>
      <c r="P7" s="162"/>
      <c r="Q7" s="162"/>
      <c r="R7" s="162"/>
      <c r="S7" s="162"/>
      <c r="T7" s="162"/>
      <c r="U7" s="162"/>
      <c r="V7" s="162"/>
      <c r="W7" s="162"/>
      <c r="X7" s="162"/>
      <c r="Y7" s="162"/>
      <c r="Z7" s="162"/>
    </row>
    <row r="8" spans="1:26" ht="15">
      <c r="A8" s="491" t="s">
        <v>329</v>
      </c>
      <c r="B8" s="487"/>
      <c r="C8" s="487"/>
      <c r="D8" s="487"/>
      <c r="E8" s="487"/>
      <c r="F8" s="487"/>
      <c r="G8" s="487"/>
      <c r="H8" s="487"/>
      <c r="I8" s="162"/>
      <c r="J8" s="162"/>
      <c r="K8" s="162"/>
      <c r="L8" s="162"/>
      <c r="M8" s="162"/>
      <c r="N8" s="162"/>
      <c r="O8" s="162"/>
      <c r="P8" s="162"/>
      <c r="Q8" s="162"/>
      <c r="R8" s="162"/>
      <c r="S8" s="162"/>
      <c r="T8" s="162"/>
      <c r="U8" s="162"/>
      <c r="V8" s="162"/>
      <c r="W8" s="162"/>
      <c r="X8" s="162"/>
      <c r="Y8" s="162"/>
      <c r="Z8" s="162"/>
    </row>
    <row r="9" spans="1:26" ht="30" customHeight="1">
      <c r="A9" s="1151" t="s">
        <v>938</v>
      </c>
      <c r="B9" s="1151"/>
      <c r="C9" s="1151"/>
      <c r="D9" s="1151"/>
      <c r="E9" s="1151"/>
      <c r="F9" s="1151"/>
      <c r="G9" s="487"/>
      <c r="H9" s="487"/>
      <c r="I9" s="162"/>
      <c r="J9" s="162"/>
      <c r="K9" s="162"/>
      <c r="L9" s="162"/>
      <c r="M9" s="162"/>
      <c r="N9" s="162"/>
      <c r="O9" s="162"/>
      <c r="P9" s="162"/>
      <c r="Q9" s="162"/>
      <c r="R9" s="162"/>
      <c r="S9" s="162"/>
      <c r="T9" s="162"/>
      <c r="U9" s="162"/>
      <c r="V9" s="162"/>
      <c r="W9" s="162"/>
      <c r="X9" s="162"/>
      <c r="Y9" s="162"/>
      <c r="Z9" s="162"/>
    </row>
    <row r="10" spans="1:26" ht="14.25">
      <c r="A10" s="487"/>
      <c r="B10" s="493" t="s">
        <v>331</v>
      </c>
      <c r="C10" s="487"/>
      <c r="D10" s="487"/>
      <c r="E10" s="487"/>
      <c r="F10" s="487"/>
      <c r="G10" s="487"/>
      <c r="H10" s="487"/>
      <c r="I10" s="162"/>
      <c r="J10" s="162"/>
      <c r="K10" s="162"/>
      <c r="L10" s="162"/>
      <c r="M10" s="162"/>
      <c r="N10" s="162"/>
      <c r="O10" s="162"/>
      <c r="P10" s="162"/>
      <c r="Q10" s="162"/>
      <c r="R10" s="162"/>
      <c r="S10" s="162"/>
      <c r="T10" s="162"/>
      <c r="U10" s="162"/>
      <c r="V10" s="162"/>
      <c r="W10" s="162"/>
      <c r="X10" s="162"/>
      <c r="Y10" s="162"/>
      <c r="Z10" s="162"/>
    </row>
    <row r="11" spans="1:26" ht="14.25">
      <c r="A11" s="487"/>
      <c r="B11" s="493" t="s">
        <v>332</v>
      </c>
      <c r="C11" s="487"/>
      <c r="D11" s="487"/>
      <c r="E11" s="487"/>
      <c r="F11" s="487"/>
      <c r="G11" s="487"/>
      <c r="H11" s="487"/>
      <c r="I11" s="162"/>
      <c r="J11" s="162"/>
      <c r="K11" s="162"/>
      <c r="L11" s="162"/>
      <c r="M11" s="162"/>
      <c r="N11" s="162"/>
      <c r="O11" s="162"/>
      <c r="P11" s="162"/>
      <c r="Q11" s="162"/>
      <c r="R11" s="162"/>
      <c r="S11" s="162"/>
      <c r="T11" s="162"/>
      <c r="U11" s="162"/>
      <c r="V11" s="162"/>
      <c r="W11" s="162"/>
      <c r="X11" s="162"/>
      <c r="Y11" s="162"/>
      <c r="Z11" s="162"/>
    </row>
    <row r="12" spans="1:26" ht="14.25">
      <c r="A12" s="487"/>
      <c r="B12" s="493" t="s">
        <v>333</v>
      </c>
      <c r="C12" s="487"/>
      <c r="D12" s="487"/>
      <c r="E12" s="487"/>
      <c r="F12" s="487"/>
      <c r="G12" s="487"/>
      <c r="H12" s="487"/>
      <c r="I12" s="162"/>
      <c r="J12" s="162"/>
      <c r="K12" s="162"/>
      <c r="L12" s="162"/>
      <c r="M12" s="162"/>
      <c r="N12" s="162"/>
      <c r="O12" s="162"/>
      <c r="P12" s="162"/>
      <c r="Q12" s="162"/>
      <c r="R12" s="162"/>
      <c r="S12" s="162"/>
      <c r="T12" s="162"/>
      <c r="U12" s="162"/>
      <c r="V12" s="162"/>
      <c r="W12" s="162"/>
      <c r="X12" s="162"/>
      <c r="Y12" s="162"/>
      <c r="Z12" s="162"/>
    </row>
    <row r="13" spans="1:26" ht="6.75" customHeight="1">
      <c r="A13" s="487"/>
      <c r="B13" s="487"/>
      <c r="C13" s="487"/>
      <c r="D13" s="487"/>
      <c r="E13" s="487"/>
      <c r="F13" s="487"/>
      <c r="G13" s="487"/>
      <c r="H13" s="487"/>
      <c r="I13" s="162"/>
      <c r="J13" s="162"/>
      <c r="K13" s="162"/>
      <c r="L13" s="162"/>
      <c r="M13" s="162"/>
      <c r="N13" s="162"/>
      <c r="O13" s="162"/>
      <c r="P13" s="162"/>
      <c r="Q13" s="162"/>
      <c r="R13" s="162"/>
      <c r="S13" s="162"/>
      <c r="T13" s="162"/>
      <c r="U13" s="162"/>
      <c r="V13" s="162"/>
      <c r="W13" s="162"/>
      <c r="X13" s="162"/>
      <c r="Y13" s="162"/>
      <c r="Z13" s="162"/>
    </row>
    <row r="14" spans="1:26" ht="46.5" customHeight="1">
      <c r="A14" s="1151" t="s">
        <v>701</v>
      </c>
      <c r="B14" s="1151"/>
      <c r="C14" s="1151"/>
      <c r="D14" s="1151"/>
      <c r="E14" s="1151"/>
      <c r="F14" s="1151"/>
      <c r="G14" s="494"/>
      <c r="H14" s="494"/>
      <c r="I14" s="162"/>
      <c r="J14" s="162"/>
      <c r="K14" s="162"/>
      <c r="L14" s="162"/>
      <c r="M14" s="162"/>
      <c r="N14" s="162"/>
      <c r="O14" s="162"/>
      <c r="P14" s="162"/>
      <c r="Q14" s="162"/>
      <c r="R14" s="162"/>
      <c r="S14" s="162"/>
      <c r="T14" s="162"/>
      <c r="U14" s="162"/>
      <c r="V14" s="162"/>
      <c r="W14" s="162"/>
      <c r="X14" s="162"/>
      <c r="Y14" s="162"/>
      <c r="Z14" s="162"/>
    </row>
    <row r="15" spans="1:26" ht="19.5" customHeight="1" thickBot="1">
      <c r="A15" s="1154" t="s">
        <v>334</v>
      </c>
      <c r="B15" s="1154"/>
      <c r="C15" s="1154"/>
      <c r="D15" s="1154"/>
      <c r="E15" s="1154"/>
      <c r="F15" s="1154"/>
      <c r="G15" s="1154"/>
      <c r="H15" s="1154"/>
      <c r="I15" s="162"/>
      <c r="J15" s="162"/>
      <c r="K15" s="162"/>
      <c r="L15" s="162"/>
      <c r="M15" s="162"/>
      <c r="N15" s="162"/>
      <c r="O15" s="162"/>
      <c r="P15" s="162"/>
      <c r="Q15" s="162"/>
      <c r="R15" s="162"/>
      <c r="S15" s="162"/>
      <c r="T15" s="162"/>
      <c r="U15" s="162"/>
      <c r="V15" s="162"/>
      <c r="W15" s="162"/>
      <c r="X15" s="162"/>
      <c r="Y15" s="162"/>
      <c r="Z15" s="162"/>
    </row>
    <row r="16" spans="1:26" ht="15.75" thickBot="1">
      <c r="A16" s="495" t="s">
        <v>138</v>
      </c>
      <c r="B16" s="496"/>
      <c r="C16" s="496"/>
      <c r="D16" s="497"/>
      <c r="E16" s="498" t="s">
        <v>328</v>
      </c>
      <c r="F16" s="487"/>
      <c r="G16" s="487"/>
      <c r="H16" s="487"/>
      <c r="I16" s="162"/>
      <c r="J16" s="162"/>
      <c r="K16" s="162"/>
      <c r="L16" s="162"/>
      <c r="M16" s="162"/>
      <c r="N16" s="162"/>
      <c r="O16" s="162"/>
      <c r="P16" s="162"/>
      <c r="Q16" s="162"/>
      <c r="R16" s="162"/>
      <c r="S16" s="162"/>
      <c r="T16" s="162"/>
      <c r="U16" s="162"/>
      <c r="V16" s="162"/>
      <c r="W16" s="162"/>
      <c r="X16" s="162"/>
      <c r="Y16" s="162"/>
      <c r="Z16" s="162"/>
    </row>
    <row r="17" spans="1:26" ht="30" customHeight="1" thickBot="1">
      <c r="A17" s="1155" t="s">
        <v>700</v>
      </c>
      <c r="B17" s="1156"/>
      <c r="C17" s="1156"/>
      <c r="D17" s="1157"/>
      <c r="E17" s="499" t="s">
        <v>1369</v>
      </c>
      <c r="F17" s="487"/>
      <c r="G17" s="487"/>
      <c r="H17" s="487"/>
      <c r="I17" s="162"/>
      <c r="J17" s="162"/>
      <c r="K17" s="162"/>
      <c r="L17" s="162"/>
      <c r="M17" s="162"/>
      <c r="N17" s="162"/>
      <c r="O17" s="162"/>
      <c r="P17" s="162"/>
      <c r="Q17" s="162"/>
      <c r="R17" s="162"/>
      <c r="S17" s="162"/>
      <c r="T17" s="162"/>
      <c r="U17" s="162"/>
      <c r="V17" s="162"/>
      <c r="W17" s="162"/>
      <c r="X17" s="162"/>
      <c r="Y17" s="162"/>
      <c r="Z17" s="162"/>
    </row>
    <row r="18" spans="1:26" ht="15.75" thickBot="1">
      <c r="A18" s="495" t="s">
        <v>139</v>
      </c>
      <c r="B18" s="496"/>
      <c r="C18" s="496"/>
      <c r="D18" s="497"/>
      <c r="E18" s="500"/>
      <c r="F18" s="487"/>
      <c r="G18" s="487"/>
      <c r="H18" s="487"/>
      <c r="I18" s="162"/>
      <c r="J18" s="162"/>
      <c r="K18" s="162"/>
      <c r="L18" s="162"/>
      <c r="M18" s="162"/>
      <c r="N18" s="162"/>
      <c r="O18" s="162"/>
      <c r="P18" s="162"/>
      <c r="Q18" s="162"/>
      <c r="R18" s="162"/>
      <c r="S18" s="162"/>
      <c r="T18" s="162"/>
      <c r="U18" s="162"/>
      <c r="V18" s="162"/>
      <c r="W18" s="162"/>
      <c r="X18" s="162"/>
      <c r="Y18" s="162"/>
      <c r="Z18" s="162"/>
    </row>
    <row r="19" spans="1:26" ht="43.5" customHeight="1" thickBot="1">
      <c r="A19" s="1158" t="s">
        <v>988</v>
      </c>
      <c r="B19" s="1159"/>
      <c r="C19" s="1159"/>
      <c r="D19" s="1160"/>
      <c r="E19" s="499" t="s">
        <v>1369</v>
      </c>
      <c r="F19" s="487"/>
      <c r="G19" s="487"/>
      <c r="H19" s="487"/>
      <c r="I19" s="162"/>
      <c r="J19" s="162"/>
      <c r="K19" s="162"/>
      <c r="L19" s="162"/>
      <c r="M19" s="162"/>
      <c r="N19" s="162"/>
      <c r="O19" s="162"/>
      <c r="P19" s="162"/>
      <c r="Q19" s="162"/>
      <c r="R19" s="162"/>
      <c r="S19" s="162"/>
      <c r="T19" s="162"/>
      <c r="U19" s="162"/>
      <c r="V19" s="162"/>
      <c r="W19" s="162"/>
      <c r="X19" s="162"/>
      <c r="Y19" s="162"/>
      <c r="Z19" s="162"/>
    </row>
    <row r="20" spans="1:26" ht="15.75" thickBot="1">
      <c r="A20" s="495" t="s">
        <v>411</v>
      </c>
      <c r="B20" s="496"/>
      <c r="C20" s="496"/>
      <c r="D20" s="497"/>
      <c r="E20" s="500"/>
      <c r="F20" s="487"/>
      <c r="G20" s="487"/>
      <c r="H20" s="487"/>
      <c r="I20" s="162"/>
      <c r="J20" s="162"/>
      <c r="K20" s="162"/>
      <c r="L20" s="162"/>
      <c r="M20" s="162"/>
      <c r="N20" s="162"/>
      <c r="O20" s="162"/>
      <c r="P20" s="162"/>
      <c r="Q20" s="162"/>
      <c r="R20" s="162"/>
      <c r="S20" s="162"/>
      <c r="T20" s="162"/>
      <c r="U20" s="162"/>
      <c r="V20" s="162"/>
      <c r="W20" s="162"/>
      <c r="X20" s="162"/>
      <c r="Y20" s="162"/>
      <c r="Z20" s="162"/>
    </row>
    <row r="21" spans="1:26" ht="15" thickBot="1">
      <c r="A21" s="1158" t="s">
        <v>412</v>
      </c>
      <c r="B21" s="1159"/>
      <c r="C21" s="1159"/>
      <c r="D21" s="1160"/>
      <c r="E21" s="499" t="s">
        <v>1369</v>
      </c>
      <c r="F21" s="487"/>
      <c r="G21" s="487"/>
      <c r="H21" s="487"/>
      <c r="I21" s="162"/>
      <c r="J21" s="162"/>
      <c r="K21" s="162"/>
      <c r="L21" s="162"/>
      <c r="M21" s="162"/>
      <c r="N21" s="162"/>
      <c r="O21" s="162"/>
      <c r="P21" s="162"/>
      <c r="Q21" s="162"/>
      <c r="R21" s="162"/>
      <c r="S21" s="162"/>
      <c r="T21" s="162"/>
      <c r="U21" s="162"/>
      <c r="V21" s="162"/>
      <c r="W21" s="162"/>
      <c r="X21" s="162"/>
      <c r="Y21" s="162"/>
      <c r="Z21" s="162"/>
    </row>
    <row r="22" spans="1:26" ht="15.75" thickBot="1">
      <c r="A22" s="495" t="s">
        <v>278</v>
      </c>
      <c r="B22" s="496"/>
      <c r="C22" s="496"/>
      <c r="D22" s="497"/>
      <c r="E22" s="500"/>
      <c r="F22" s="487"/>
      <c r="G22" s="487"/>
      <c r="H22" s="487"/>
      <c r="I22" s="162"/>
      <c r="J22" s="162"/>
      <c r="K22" s="162"/>
      <c r="L22" s="162"/>
      <c r="M22" s="162"/>
      <c r="N22" s="162"/>
      <c r="O22" s="162"/>
      <c r="P22" s="162"/>
      <c r="Q22" s="162"/>
      <c r="R22" s="162"/>
      <c r="S22" s="162"/>
      <c r="T22" s="162"/>
      <c r="U22" s="162"/>
      <c r="V22" s="162"/>
      <c r="W22" s="162"/>
      <c r="X22" s="162"/>
      <c r="Y22" s="162"/>
      <c r="Z22" s="162"/>
    </row>
    <row r="23" spans="1:26" ht="15" thickBot="1">
      <c r="A23" s="1158" t="s">
        <v>414</v>
      </c>
      <c r="B23" s="1159"/>
      <c r="C23" s="1159"/>
      <c r="D23" s="1160"/>
      <c r="E23" s="499" t="s">
        <v>1370</v>
      </c>
      <c r="F23" s="487"/>
      <c r="G23" s="487"/>
      <c r="H23" s="487"/>
      <c r="I23" s="162"/>
      <c r="J23" s="162"/>
      <c r="K23" s="162"/>
      <c r="L23" s="162"/>
      <c r="M23" s="162"/>
      <c r="N23" s="162"/>
      <c r="O23" s="162"/>
      <c r="P23" s="162"/>
      <c r="Q23" s="162"/>
      <c r="R23" s="162"/>
      <c r="S23" s="162"/>
      <c r="T23" s="162"/>
      <c r="U23" s="162"/>
      <c r="V23" s="162"/>
      <c r="W23" s="162"/>
      <c r="X23" s="162"/>
      <c r="Y23" s="162"/>
      <c r="Z23" s="162"/>
    </row>
    <row r="24" spans="1:26" ht="15.75" thickBot="1">
      <c r="A24" s="495" t="s">
        <v>479</v>
      </c>
      <c r="B24" s="496"/>
      <c r="C24" s="496"/>
      <c r="D24" s="497"/>
      <c r="E24" s="500"/>
      <c r="F24" s="487"/>
      <c r="G24" s="487"/>
      <c r="H24" s="487"/>
      <c r="I24" s="162"/>
      <c r="J24" s="162"/>
      <c r="K24" s="162"/>
      <c r="L24" s="162"/>
      <c r="M24" s="162"/>
      <c r="N24" s="162"/>
      <c r="O24" s="162"/>
      <c r="P24" s="162"/>
      <c r="Q24" s="162"/>
      <c r="R24" s="162"/>
      <c r="S24" s="162"/>
      <c r="T24" s="162"/>
      <c r="U24" s="162"/>
      <c r="V24" s="162"/>
      <c r="W24" s="162"/>
      <c r="X24" s="162"/>
      <c r="Y24" s="162"/>
      <c r="Z24" s="162"/>
    </row>
    <row r="25" spans="1:26" ht="33" customHeight="1" thickBot="1">
      <c r="A25" s="1158" t="s">
        <v>666</v>
      </c>
      <c r="B25" s="1159"/>
      <c r="C25" s="1159"/>
      <c r="D25" s="1160"/>
      <c r="E25" s="499" t="s">
        <v>1369</v>
      </c>
      <c r="F25" s="162"/>
      <c r="G25" s="162"/>
      <c r="H25" s="162"/>
      <c r="I25" s="162"/>
      <c r="J25" s="162"/>
      <c r="K25" s="162"/>
      <c r="L25" s="162"/>
      <c r="M25" s="162"/>
      <c r="N25" s="162"/>
      <c r="O25" s="162"/>
      <c r="P25" s="162"/>
      <c r="Q25" s="162"/>
      <c r="R25" s="162"/>
      <c r="S25" s="162"/>
      <c r="T25" s="162"/>
      <c r="U25" s="162"/>
      <c r="V25" s="162"/>
      <c r="W25" s="162"/>
      <c r="X25" s="162"/>
      <c r="Y25" s="162"/>
      <c r="Z25" s="162"/>
    </row>
    <row r="26" spans="1:26" ht="15.75" thickBot="1">
      <c r="A26" s="495" t="s">
        <v>69</v>
      </c>
      <c r="B26" s="496"/>
      <c r="C26" s="496"/>
      <c r="D26" s="497"/>
      <c r="E26" s="500"/>
      <c r="F26" s="487"/>
      <c r="G26" s="487"/>
      <c r="H26" s="487"/>
      <c r="I26" s="162"/>
      <c r="J26" s="162"/>
      <c r="K26" s="162"/>
      <c r="L26" s="162"/>
      <c r="M26" s="162"/>
      <c r="N26" s="162"/>
      <c r="O26" s="162"/>
      <c r="P26" s="162"/>
      <c r="Q26" s="162"/>
      <c r="R26" s="162"/>
      <c r="S26" s="162"/>
      <c r="T26" s="162"/>
      <c r="U26" s="162"/>
      <c r="V26" s="162"/>
      <c r="W26" s="162"/>
      <c r="X26" s="162"/>
      <c r="Y26" s="162"/>
      <c r="Z26" s="162"/>
    </row>
    <row r="27" spans="1:26" ht="15" customHeight="1" thickBot="1">
      <c r="A27" s="501" t="s">
        <v>410</v>
      </c>
      <c r="B27" s="501"/>
      <c r="C27" s="502"/>
      <c r="D27" s="502"/>
      <c r="E27" s="499" t="s">
        <v>1369</v>
      </c>
      <c r="F27" s="487"/>
      <c r="G27" s="487"/>
      <c r="H27" s="487"/>
      <c r="I27" s="162"/>
      <c r="J27" s="162"/>
      <c r="K27" s="162"/>
      <c r="L27" s="162"/>
      <c r="M27" s="162"/>
      <c r="N27" s="162"/>
      <c r="O27" s="162"/>
      <c r="P27" s="162"/>
      <c r="Q27" s="162"/>
      <c r="R27" s="162"/>
      <c r="S27" s="162"/>
      <c r="T27" s="162"/>
      <c r="U27" s="162"/>
      <c r="V27" s="162"/>
      <c r="W27" s="162"/>
      <c r="X27" s="162"/>
      <c r="Y27" s="162"/>
      <c r="Z27" s="162"/>
    </row>
    <row r="28" spans="1:26" ht="15.75" thickBot="1">
      <c r="A28" s="495" t="s">
        <v>71</v>
      </c>
      <c r="B28" s="496"/>
      <c r="C28" s="496"/>
      <c r="D28" s="497"/>
      <c r="E28" s="500"/>
      <c r="F28" s="487"/>
      <c r="G28" s="487"/>
      <c r="H28" s="487"/>
      <c r="I28" s="162"/>
      <c r="J28" s="162"/>
      <c r="K28" s="162"/>
      <c r="L28" s="162"/>
      <c r="M28" s="162"/>
      <c r="N28" s="162"/>
      <c r="O28" s="162"/>
      <c r="P28" s="162"/>
      <c r="Q28" s="162"/>
      <c r="R28" s="162"/>
      <c r="S28" s="162"/>
      <c r="T28" s="162"/>
      <c r="U28" s="162"/>
      <c r="V28" s="162"/>
      <c r="W28" s="162"/>
      <c r="X28" s="162"/>
      <c r="Y28" s="162"/>
      <c r="Z28" s="162"/>
    </row>
    <row r="29" spans="1:26" ht="15" customHeight="1" thickBot="1">
      <c r="A29" s="503" t="s">
        <v>330</v>
      </c>
      <c r="B29" s="503"/>
      <c r="C29" s="503"/>
      <c r="D29" s="503"/>
      <c r="E29" s="504" t="s">
        <v>1370</v>
      </c>
      <c r="F29" s="487"/>
      <c r="G29" s="487"/>
      <c r="H29" s="487"/>
      <c r="I29" s="162"/>
      <c r="J29" s="162"/>
      <c r="K29" s="162"/>
      <c r="L29" s="162"/>
      <c r="M29" s="162"/>
      <c r="N29" s="162"/>
      <c r="O29" s="162"/>
      <c r="P29" s="162"/>
      <c r="Q29" s="162"/>
      <c r="R29" s="162"/>
      <c r="S29" s="162"/>
      <c r="T29" s="162"/>
      <c r="U29" s="162"/>
      <c r="V29" s="162"/>
      <c r="W29" s="162"/>
      <c r="X29" s="162"/>
      <c r="Y29" s="162"/>
      <c r="Z29" s="162"/>
    </row>
    <row r="30" spans="1:26" ht="15.75" thickBot="1">
      <c r="A30" s="495" t="s">
        <v>968</v>
      </c>
      <c r="B30" s="496"/>
      <c r="C30" s="496"/>
      <c r="D30" s="497"/>
      <c r="E30" s="500"/>
      <c r="F30" s="487"/>
      <c r="G30" s="487"/>
      <c r="H30" s="487"/>
      <c r="I30" s="162"/>
      <c r="J30" s="162"/>
      <c r="K30" s="162"/>
      <c r="L30" s="162"/>
      <c r="M30" s="162"/>
      <c r="N30" s="162"/>
      <c r="O30" s="162"/>
      <c r="P30" s="162"/>
      <c r="Q30" s="162"/>
      <c r="R30" s="162"/>
      <c r="S30" s="162"/>
      <c r="T30" s="162"/>
      <c r="U30" s="162"/>
      <c r="V30" s="162"/>
      <c r="W30" s="162"/>
      <c r="X30" s="162"/>
      <c r="Y30" s="162"/>
      <c r="Z30" s="162"/>
    </row>
    <row r="31" spans="1:26" ht="45.75" customHeight="1">
      <c r="A31" s="1150" t="s">
        <v>969</v>
      </c>
      <c r="B31" s="1150"/>
      <c r="C31" s="1150"/>
      <c r="D31" s="1150"/>
      <c r="E31" s="499" t="s">
        <v>1370</v>
      </c>
      <c r="F31" s="487"/>
      <c r="G31" s="487"/>
      <c r="H31" s="487"/>
      <c r="I31" s="162"/>
      <c r="J31" s="162"/>
      <c r="K31" s="162"/>
      <c r="L31" s="162"/>
      <c r="M31" s="162"/>
      <c r="N31" s="162"/>
      <c r="O31" s="162"/>
      <c r="P31" s="162"/>
      <c r="Q31" s="162"/>
      <c r="R31" s="162"/>
      <c r="S31" s="162"/>
      <c r="T31" s="162"/>
      <c r="U31" s="162"/>
      <c r="V31" s="162"/>
      <c r="W31" s="162"/>
      <c r="X31" s="162"/>
      <c r="Y31" s="162"/>
      <c r="Z31" s="162"/>
    </row>
    <row r="32" spans="1:26" ht="9.75" customHeight="1">
      <c r="A32" s="487"/>
      <c r="B32" s="487"/>
      <c r="C32" s="487"/>
      <c r="D32" s="487"/>
      <c r="E32" s="487"/>
      <c r="F32" s="487"/>
      <c r="G32" s="487"/>
      <c r="H32" s="487"/>
      <c r="I32" s="162"/>
      <c r="J32" s="162"/>
      <c r="K32" s="162"/>
      <c r="L32" s="162"/>
      <c r="M32" s="162"/>
      <c r="N32" s="162"/>
      <c r="O32" s="162"/>
      <c r="P32" s="162"/>
      <c r="Q32" s="162"/>
      <c r="R32" s="162"/>
      <c r="S32" s="162"/>
      <c r="T32" s="162"/>
      <c r="U32" s="162"/>
      <c r="V32" s="162"/>
      <c r="W32" s="162"/>
      <c r="X32" s="162"/>
      <c r="Y32" s="162"/>
      <c r="Z32" s="162"/>
    </row>
    <row r="33" spans="1:26" ht="45.75" customHeight="1" thickBot="1">
      <c r="A33" s="1153" t="s">
        <v>960</v>
      </c>
      <c r="B33" s="1153"/>
      <c r="C33" s="1153"/>
      <c r="D33" s="1153"/>
      <c r="E33" s="1153"/>
      <c r="F33" s="1153"/>
      <c r="G33" s="1151"/>
      <c r="H33" s="1151"/>
      <c r="I33" s="162"/>
      <c r="J33" s="162"/>
      <c r="K33" s="162"/>
      <c r="L33" s="162"/>
      <c r="M33" s="162"/>
      <c r="N33" s="162"/>
      <c r="O33" s="162"/>
      <c r="P33" s="162"/>
      <c r="Q33" s="162"/>
      <c r="R33" s="162"/>
      <c r="S33" s="162"/>
      <c r="T33" s="162"/>
      <c r="U33" s="162"/>
      <c r="V33" s="162"/>
      <c r="W33" s="162"/>
      <c r="X33" s="162"/>
      <c r="Y33" s="162"/>
      <c r="Z33" s="162"/>
    </row>
    <row r="34" spans="1:26" ht="15.75" thickBot="1">
      <c r="A34" s="505" t="s">
        <v>279</v>
      </c>
      <c r="B34" s="506"/>
      <c r="C34" s="506"/>
      <c r="D34" s="507"/>
      <c r="E34" s="508" t="s">
        <v>328</v>
      </c>
      <c r="F34" s="484"/>
      <c r="G34" s="484"/>
      <c r="H34" s="484"/>
      <c r="I34" s="162"/>
      <c r="J34" s="162"/>
      <c r="K34" s="162"/>
      <c r="L34" s="162"/>
      <c r="M34" s="162"/>
      <c r="N34" s="162"/>
      <c r="O34" s="162"/>
      <c r="P34" s="162"/>
      <c r="Q34" s="162"/>
      <c r="R34" s="162"/>
      <c r="S34" s="162"/>
      <c r="T34" s="162"/>
      <c r="U34" s="162"/>
      <c r="V34" s="162"/>
      <c r="W34" s="162"/>
      <c r="X34" s="162"/>
      <c r="Y34" s="162"/>
      <c r="Z34" s="162"/>
    </row>
    <row r="35" spans="1:26" ht="31.5" customHeight="1" thickBot="1">
      <c r="A35" s="1150" t="s">
        <v>989</v>
      </c>
      <c r="B35" s="1150"/>
      <c r="C35" s="1150"/>
      <c r="D35" s="1150"/>
      <c r="E35" s="499" t="s">
        <v>1369</v>
      </c>
      <c r="F35" s="484"/>
      <c r="G35" s="484"/>
      <c r="H35" s="484"/>
      <c r="I35" s="162"/>
      <c r="J35" s="162"/>
      <c r="K35" s="162"/>
      <c r="L35" s="162"/>
      <c r="M35" s="162"/>
      <c r="N35" s="162"/>
      <c r="O35" s="162"/>
      <c r="P35" s="162"/>
      <c r="Q35" s="162"/>
      <c r="R35" s="162"/>
      <c r="S35" s="162"/>
      <c r="T35" s="162"/>
      <c r="U35" s="162"/>
      <c r="V35" s="162"/>
      <c r="W35" s="162"/>
      <c r="X35" s="162"/>
      <c r="Y35" s="162"/>
      <c r="Z35" s="162"/>
    </row>
    <row r="36" spans="1:26" ht="15.75" thickBot="1">
      <c r="A36" s="505" t="s">
        <v>142</v>
      </c>
      <c r="B36" s="506"/>
      <c r="C36" s="506"/>
      <c r="D36" s="507"/>
      <c r="E36" s="500"/>
      <c r="F36" s="484"/>
      <c r="G36" s="484"/>
      <c r="H36" s="484"/>
      <c r="I36" s="162"/>
      <c r="J36" s="162"/>
      <c r="K36" s="162"/>
      <c r="L36" s="162"/>
      <c r="M36" s="162"/>
      <c r="N36" s="162"/>
      <c r="O36" s="162"/>
      <c r="P36" s="162"/>
      <c r="Q36" s="162"/>
      <c r="R36" s="162"/>
      <c r="S36" s="162"/>
      <c r="T36" s="162"/>
      <c r="U36" s="162"/>
      <c r="V36" s="162"/>
      <c r="W36" s="162"/>
      <c r="X36" s="162"/>
      <c r="Y36" s="162"/>
      <c r="Z36" s="162"/>
    </row>
    <row r="37" spans="1:26" ht="33.75" customHeight="1" thickBot="1">
      <c r="A37" s="1150" t="s">
        <v>702</v>
      </c>
      <c r="B37" s="1150"/>
      <c r="C37" s="1150"/>
      <c r="D37" s="1150"/>
      <c r="E37" s="499" t="s">
        <v>1369</v>
      </c>
      <c r="F37" s="484"/>
      <c r="G37" s="484"/>
      <c r="H37" s="484"/>
      <c r="I37" s="162"/>
      <c r="J37" s="162"/>
      <c r="K37" s="162"/>
      <c r="L37" s="162"/>
      <c r="M37" s="162"/>
      <c r="N37" s="162"/>
      <c r="O37" s="162"/>
      <c r="P37" s="162"/>
      <c r="Q37" s="162"/>
      <c r="R37" s="162"/>
      <c r="S37" s="162"/>
      <c r="T37" s="162"/>
      <c r="U37" s="162"/>
      <c r="V37" s="162"/>
      <c r="W37" s="162"/>
      <c r="X37" s="162"/>
      <c r="Y37" s="162"/>
      <c r="Z37" s="162"/>
    </row>
    <row r="38" spans="1:26" ht="15.75" thickBot="1">
      <c r="A38" s="505" t="s">
        <v>1282</v>
      </c>
      <c r="B38" s="506"/>
      <c r="C38" s="506"/>
      <c r="D38" s="507"/>
      <c r="E38" s="500"/>
      <c r="F38" s="484"/>
      <c r="G38" s="484"/>
      <c r="H38" s="484"/>
      <c r="I38" s="162"/>
      <c r="J38" s="162"/>
      <c r="K38" s="162"/>
      <c r="L38" s="162"/>
      <c r="M38" s="162"/>
      <c r="N38" s="162"/>
      <c r="O38" s="162"/>
      <c r="P38" s="162"/>
      <c r="Q38" s="162"/>
      <c r="R38" s="162"/>
      <c r="S38" s="162"/>
      <c r="T38" s="162"/>
      <c r="U38" s="162"/>
      <c r="V38" s="162"/>
      <c r="W38" s="162"/>
      <c r="X38" s="162"/>
      <c r="Y38" s="162"/>
      <c r="Z38" s="162"/>
    </row>
    <row r="39" spans="1:26" ht="35.25" customHeight="1" thickBot="1">
      <c r="A39" s="1150" t="s">
        <v>415</v>
      </c>
      <c r="B39" s="1150"/>
      <c r="C39" s="1150"/>
      <c r="D39" s="1150"/>
      <c r="E39" s="499" t="s">
        <v>1369</v>
      </c>
      <c r="F39" s="484"/>
      <c r="G39" s="484"/>
      <c r="H39" s="484"/>
      <c r="I39" s="162"/>
      <c r="J39" s="162"/>
      <c r="K39" s="162"/>
      <c r="L39" s="162"/>
      <c r="M39" s="162"/>
      <c r="N39" s="162"/>
      <c r="O39" s="162"/>
      <c r="P39" s="162"/>
      <c r="Q39" s="162"/>
      <c r="R39" s="162"/>
      <c r="S39" s="162"/>
      <c r="T39" s="162"/>
      <c r="U39" s="162"/>
      <c r="V39" s="162"/>
      <c r="W39" s="162"/>
      <c r="X39" s="162"/>
      <c r="Y39" s="162"/>
      <c r="Z39" s="162"/>
    </row>
    <row r="40" spans="1:26" ht="15.75" thickBot="1">
      <c r="A40" s="505" t="s">
        <v>1122</v>
      </c>
      <c r="B40" s="506"/>
      <c r="C40" s="506"/>
      <c r="D40" s="507"/>
      <c r="E40" s="500"/>
      <c r="F40" s="484"/>
      <c r="G40" s="484"/>
      <c r="H40" s="484"/>
      <c r="I40" s="162"/>
      <c r="J40" s="162"/>
      <c r="K40" s="162"/>
      <c r="L40" s="162"/>
      <c r="M40" s="162"/>
      <c r="N40" s="162"/>
      <c r="O40" s="162"/>
      <c r="P40" s="162"/>
      <c r="Q40" s="162"/>
      <c r="R40" s="162"/>
      <c r="S40" s="162"/>
      <c r="T40" s="162"/>
      <c r="U40" s="162"/>
      <c r="V40" s="162"/>
      <c r="W40" s="162"/>
      <c r="X40" s="162"/>
      <c r="Y40" s="162"/>
      <c r="Z40" s="162"/>
    </row>
    <row r="41" spans="1:26" ht="35.25" customHeight="1" thickBot="1">
      <c r="A41" s="1150" t="s">
        <v>1123</v>
      </c>
      <c r="B41" s="1150"/>
      <c r="C41" s="1150"/>
      <c r="D41" s="1150"/>
      <c r="E41" s="499" t="s">
        <v>1370</v>
      </c>
      <c r="F41" s="484"/>
      <c r="G41" s="484"/>
      <c r="H41" s="484"/>
      <c r="I41" s="162"/>
      <c r="J41" s="162"/>
      <c r="K41" s="162"/>
      <c r="L41" s="162"/>
      <c r="M41" s="162"/>
      <c r="N41" s="162"/>
      <c r="O41" s="162"/>
      <c r="P41" s="162"/>
      <c r="Q41" s="162"/>
      <c r="R41" s="162"/>
      <c r="S41" s="162"/>
      <c r="T41" s="162"/>
      <c r="U41" s="162"/>
      <c r="V41" s="162"/>
      <c r="W41" s="162"/>
      <c r="X41" s="162"/>
      <c r="Y41" s="162"/>
      <c r="Z41" s="162"/>
    </row>
    <row r="42" spans="1:26" ht="15.75" thickBot="1">
      <c r="A42" s="505" t="s">
        <v>216</v>
      </c>
      <c r="B42" s="506"/>
      <c r="C42" s="506"/>
      <c r="D42" s="507"/>
      <c r="E42" s="500"/>
      <c r="F42" s="487"/>
      <c r="G42" s="487"/>
      <c r="H42" s="487"/>
      <c r="I42" s="162"/>
      <c r="J42" s="162"/>
      <c r="K42" s="162"/>
      <c r="L42" s="162"/>
      <c r="M42" s="162"/>
      <c r="N42" s="162"/>
      <c r="O42" s="162"/>
      <c r="P42" s="162"/>
      <c r="Q42" s="162"/>
      <c r="R42" s="162"/>
      <c r="S42" s="162"/>
      <c r="T42" s="162"/>
      <c r="U42" s="162"/>
      <c r="V42" s="162"/>
      <c r="W42" s="162"/>
      <c r="X42" s="162"/>
      <c r="Y42" s="162"/>
      <c r="Z42" s="162"/>
    </row>
    <row r="43" spans="1:26" ht="14.25">
      <c r="A43" s="587" t="s">
        <v>416</v>
      </c>
      <c r="B43" s="588"/>
      <c r="C43" s="589"/>
      <c r="D43" s="590"/>
      <c r="E43" s="499" t="s">
        <v>1370</v>
      </c>
      <c r="F43" s="487"/>
      <c r="G43" s="487"/>
      <c r="H43" s="487"/>
      <c r="I43" s="162"/>
      <c r="J43" s="162"/>
      <c r="K43" s="162"/>
      <c r="L43" s="162"/>
      <c r="M43" s="162"/>
      <c r="N43" s="162"/>
      <c r="O43" s="162"/>
      <c r="P43" s="162"/>
      <c r="Q43" s="162"/>
      <c r="R43" s="162"/>
      <c r="S43" s="162"/>
      <c r="T43" s="162"/>
      <c r="U43" s="162"/>
      <c r="V43" s="162"/>
      <c r="W43" s="162"/>
      <c r="X43" s="162"/>
      <c r="Y43" s="162"/>
      <c r="Z43" s="162"/>
    </row>
    <row r="44" spans="1:26">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row>
    <row r="45" spans="1:26">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row>
    <row r="46" spans="1:26">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row>
    <row r="47" spans="1:26">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row>
    <row r="48" spans="1:26">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row>
    <row r="49" spans="1:26">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row>
    <row r="50" spans="1:26">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row>
    <row r="51" spans="1:26">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row>
    <row r="52" spans="1:26">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row>
    <row r="53" spans="1:26">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row>
    <row r="54" spans="1:26">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row>
    <row r="55" spans="1:26">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row>
    <row r="56" spans="1:26">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row>
    <row r="57" spans="1:26">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row>
    <row r="58" spans="1:26">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row>
    <row r="59" spans="1:26">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row>
    <row r="60" spans="1:26">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row>
    <row r="61" spans="1:26">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row>
    <row r="62" spans="1:26">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row>
    <row r="63" spans="1:26">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row>
    <row r="64" spans="1:26">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row>
    <row r="65" spans="1:26">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row>
    <row r="66" spans="1:26">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row>
    <row r="67" spans="1:26">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row>
    <row r="68" spans="1:26">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row>
    <row r="69" spans="1:26">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row>
    <row r="70" spans="1:26">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row>
    <row r="71" spans="1:26">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row>
    <row r="72" spans="1:26">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row>
    <row r="73" spans="1:26">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row>
    <row r="74" spans="1:26">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row>
    <row r="75" spans="1:26">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row>
    <row r="76" spans="1:26">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row>
    <row r="77" spans="1:26">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row>
    <row r="78" spans="1:26">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row>
    <row r="79" spans="1:26">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row>
    <row r="80" spans="1:26">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row>
    <row r="81" spans="1:26">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row>
    <row r="82" spans="1:26">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row>
    <row r="83" spans="1:26">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row>
    <row r="84" spans="1:26">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row>
    <row r="85" spans="1:26">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row>
    <row r="86" spans="1:26">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row>
    <row r="87" spans="1:26">
      <c r="A87" s="162"/>
      <c r="B87" s="162"/>
      <c r="C87" s="162"/>
      <c r="D87" s="162"/>
      <c r="E87" s="162"/>
      <c r="F87" s="162"/>
    </row>
  </sheetData>
  <sheetProtection sheet="1" objects="1" scenarios="1"/>
  <mergeCells count="16">
    <mergeCell ref="A41:D41"/>
    <mergeCell ref="A37:D37"/>
    <mergeCell ref="A39:D39"/>
    <mergeCell ref="A9:F9"/>
    <mergeCell ref="A6:F6"/>
    <mergeCell ref="A33:F33"/>
    <mergeCell ref="A15:H15"/>
    <mergeCell ref="A35:D35"/>
    <mergeCell ref="G33:H33"/>
    <mergeCell ref="A31:D31"/>
    <mergeCell ref="A17:D17"/>
    <mergeCell ref="A19:D19"/>
    <mergeCell ref="A21:D21"/>
    <mergeCell ref="A23:D23"/>
    <mergeCell ref="A14:F14"/>
    <mergeCell ref="A25:D25"/>
  </mergeCells>
  <dataValidations count="1">
    <dataValidation type="list" allowBlank="1" showInputMessage="1" showErrorMessage="1" sqref="E19 E21 E29 E25 E27 E43 E31 E17 E35 E37 E23 E39 E41" xr:uid="{00000000-0002-0000-0100-000000000000}">
      <formula1>"Y,N,?"</formula1>
    </dataValidation>
  </dataValidations>
  <pageMargins left="0.7" right="0.7" top="0.75" bottom="0.75" header="0.3" footer="0.3"/>
  <pageSetup scale="95" orientation="portrait" r:id="rId1"/>
  <rowBreaks count="1" manualBreakCount="1">
    <brk id="31" max="16383" man="1"/>
  </rowBreaks>
  <colBreaks count="1" manualBreakCount="1">
    <brk id="6" max="1048575"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C196"/>
  <sheetViews>
    <sheetView zoomScale="80" zoomScaleNormal="80" workbookViewId="0"/>
  </sheetViews>
  <sheetFormatPr defaultColWidth="9.140625" defaultRowHeight="12.75"/>
  <cols>
    <col min="1" max="1" width="9.85546875" style="275" customWidth="1"/>
    <col min="2" max="2" width="25.85546875" style="275" customWidth="1"/>
    <col min="3" max="3" width="20.140625" style="275" customWidth="1"/>
    <col min="4" max="4" width="16.140625" style="275" customWidth="1"/>
    <col min="5" max="5" width="18.42578125" style="275" bestFit="1" customWidth="1"/>
    <col min="6" max="6" width="36.85546875" style="275" bestFit="1" customWidth="1"/>
    <col min="7" max="7" width="6.140625" style="275" customWidth="1"/>
    <col min="8" max="16384" width="9.140625" style="275"/>
  </cols>
  <sheetData>
    <row r="1" spans="1:29" ht="24.95" customHeight="1">
      <c r="A1" s="276"/>
      <c r="B1" s="276"/>
      <c r="C1" s="162"/>
      <c r="D1" s="162"/>
      <c r="E1" s="162"/>
      <c r="F1" s="162"/>
      <c r="G1" s="162"/>
      <c r="H1" s="276"/>
      <c r="I1" s="276"/>
      <c r="J1" s="276"/>
      <c r="K1" s="276"/>
      <c r="L1" s="276"/>
      <c r="M1" s="276"/>
      <c r="N1" s="276"/>
      <c r="O1" s="276"/>
      <c r="P1" s="276"/>
      <c r="Q1" s="276"/>
      <c r="R1" s="276"/>
      <c r="S1" s="276"/>
      <c r="T1" s="276"/>
      <c r="U1" s="276"/>
      <c r="V1" s="276"/>
      <c r="W1" s="276"/>
      <c r="X1" s="276"/>
      <c r="Y1" s="276"/>
      <c r="Z1" s="276"/>
      <c r="AA1" s="276"/>
      <c r="AB1" s="276"/>
      <c r="AC1" s="276"/>
    </row>
    <row r="2" spans="1:29" ht="17.25" customHeight="1">
      <c r="A2" s="276"/>
      <c r="B2" s="276"/>
      <c r="C2" s="1394" t="s">
        <v>138</v>
      </c>
      <c r="D2" s="1394"/>
      <c r="E2" s="162"/>
      <c r="F2" s="162"/>
      <c r="G2" s="162"/>
      <c r="H2" s="276"/>
      <c r="I2" s="276"/>
      <c r="J2" s="276"/>
      <c r="K2" s="276"/>
      <c r="L2" s="276"/>
      <c r="M2" s="276"/>
      <c r="N2" s="276"/>
      <c r="O2" s="276"/>
      <c r="P2" s="276"/>
      <c r="Q2" s="276"/>
      <c r="R2" s="276"/>
      <c r="S2" s="276"/>
      <c r="T2" s="276"/>
      <c r="U2" s="276"/>
      <c r="V2" s="276"/>
      <c r="W2" s="276"/>
      <c r="X2" s="276"/>
      <c r="Y2" s="276"/>
      <c r="Z2" s="276"/>
      <c r="AA2" s="276"/>
      <c r="AB2" s="276"/>
      <c r="AC2" s="276"/>
    </row>
    <row r="3" spans="1:29" ht="14.25">
      <c r="A3" s="276"/>
      <c r="B3" s="276"/>
      <c r="C3" s="315"/>
      <c r="D3" s="315"/>
      <c r="E3" s="162"/>
      <c r="F3" s="162"/>
      <c r="G3" s="162"/>
      <c r="H3" s="276"/>
      <c r="I3" s="276"/>
      <c r="J3" s="276"/>
      <c r="K3" s="276"/>
      <c r="L3" s="276"/>
      <c r="M3" s="276"/>
      <c r="N3" s="276"/>
      <c r="O3" s="276"/>
      <c r="P3" s="276"/>
      <c r="Q3" s="276"/>
      <c r="R3" s="276"/>
      <c r="S3" s="276"/>
      <c r="T3" s="276"/>
      <c r="U3" s="276"/>
      <c r="V3" s="276"/>
      <c r="W3" s="276"/>
      <c r="X3" s="276"/>
      <c r="Y3" s="276"/>
      <c r="Z3" s="276"/>
      <c r="AA3" s="276"/>
      <c r="AB3" s="276"/>
      <c r="AC3" s="276"/>
    </row>
    <row r="4" spans="1:29" ht="15">
      <c r="A4" s="277" t="s">
        <v>619</v>
      </c>
      <c r="B4" s="276"/>
      <c r="C4" s="162"/>
      <c r="D4" s="162"/>
      <c r="E4" s="162"/>
      <c r="F4" s="162"/>
      <c r="G4" s="162"/>
      <c r="H4" s="276"/>
      <c r="I4" s="276"/>
      <c r="J4" s="276"/>
      <c r="K4" s="276"/>
      <c r="L4" s="276"/>
      <c r="M4" s="276"/>
      <c r="N4" s="276"/>
      <c r="O4" s="276"/>
      <c r="P4" s="276"/>
      <c r="Q4" s="276"/>
      <c r="R4" s="276"/>
      <c r="S4" s="276"/>
      <c r="T4" s="276"/>
      <c r="U4" s="276"/>
      <c r="V4" s="276"/>
      <c r="W4" s="276"/>
      <c r="X4" s="276"/>
      <c r="Y4" s="276"/>
      <c r="Z4" s="276"/>
      <c r="AA4" s="276"/>
      <c r="AB4" s="276"/>
      <c r="AC4" s="276"/>
    </row>
    <row r="5" spans="1:29">
      <c r="A5" s="276"/>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29" ht="12.75" customHeight="1">
      <c r="A6" s="1395" t="s">
        <v>494</v>
      </c>
      <c r="B6" s="1395"/>
      <c r="C6" s="1395"/>
      <c r="D6" s="1395"/>
      <c r="E6" s="1395"/>
      <c r="F6" s="276"/>
      <c r="G6" s="276"/>
      <c r="H6" s="276"/>
      <c r="I6" s="276"/>
      <c r="J6" s="276"/>
      <c r="K6" s="276"/>
      <c r="L6" s="276"/>
      <c r="M6" s="276"/>
      <c r="N6" s="276"/>
      <c r="O6" s="276"/>
      <c r="P6" s="276"/>
      <c r="Q6" s="276"/>
      <c r="R6" s="276"/>
      <c r="S6" s="276"/>
      <c r="T6" s="276"/>
      <c r="U6" s="276"/>
      <c r="V6" s="276"/>
      <c r="W6" s="276"/>
      <c r="X6" s="276"/>
      <c r="Y6" s="276"/>
      <c r="Z6" s="276"/>
      <c r="AA6" s="276"/>
      <c r="AB6" s="276"/>
      <c r="AC6" s="276"/>
    </row>
    <row r="7" spans="1:29">
      <c r="A7" s="281"/>
      <c r="B7" s="281"/>
      <c r="C7" s="281"/>
      <c r="D7" s="281"/>
      <c r="E7" s="281"/>
      <c r="F7" s="276"/>
      <c r="G7" s="276"/>
      <c r="H7" s="276"/>
      <c r="I7" s="276"/>
      <c r="J7" s="276"/>
      <c r="K7" s="276"/>
      <c r="L7" s="276"/>
      <c r="M7" s="276"/>
      <c r="N7" s="276"/>
      <c r="O7" s="276"/>
      <c r="P7" s="276"/>
      <c r="Q7" s="276"/>
      <c r="R7" s="276"/>
      <c r="S7" s="276"/>
      <c r="T7" s="276"/>
      <c r="U7" s="276"/>
      <c r="V7" s="276"/>
      <c r="W7" s="276"/>
      <c r="X7" s="276"/>
      <c r="Y7" s="276"/>
      <c r="Z7" s="276"/>
      <c r="AA7" s="276"/>
      <c r="AB7" s="276"/>
      <c r="AC7" s="276"/>
    </row>
    <row r="8" spans="1:29">
      <c r="A8" s="308" t="s">
        <v>495</v>
      </c>
      <c r="B8" s="309"/>
      <c r="C8" s="309"/>
      <c r="D8" s="309"/>
      <c r="E8" s="309"/>
      <c r="F8" s="310"/>
      <c r="G8" s="276"/>
      <c r="H8" s="276"/>
      <c r="I8" s="276"/>
      <c r="J8" s="276"/>
      <c r="K8" s="276"/>
      <c r="L8" s="276"/>
      <c r="M8" s="276"/>
      <c r="N8" s="276"/>
      <c r="O8" s="276"/>
      <c r="P8" s="276"/>
      <c r="Q8" s="276"/>
      <c r="R8" s="276"/>
      <c r="S8" s="276"/>
      <c r="T8" s="276"/>
      <c r="U8" s="276"/>
      <c r="V8" s="276"/>
      <c r="W8" s="276"/>
      <c r="X8" s="276"/>
      <c r="Y8" s="276"/>
      <c r="Z8" s="276"/>
      <c r="AA8" s="276"/>
      <c r="AB8" s="276"/>
      <c r="AC8" s="276"/>
    </row>
    <row r="9" spans="1:29" ht="92.25" customHeight="1">
      <c r="A9" s="1390" t="s">
        <v>998</v>
      </c>
      <c r="B9" s="1390"/>
      <c r="C9" s="1390"/>
      <c r="D9" s="1390"/>
      <c r="E9" s="1390"/>
      <c r="F9" s="1390"/>
      <c r="G9" s="276"/>
      <c r="H9" s="276"/>
      <c r="I9" s="276"/>
      <c r="J9" s="276"/>
      <c r="K9" s="276"/>
      <c r="L9" s="276"/>
      <c r="M9" s="276"/>
      <c r="N9" s="276"/>
      <c r="O9" s="276"/>
      <c r="P9" s="276"/>
      <c r="Q9" s="276"/>
      <c r="R9" s="276"/>
      <c r="S9" s="276"/>
      <c r="T9" s="276"/>
      <c r="U9" s="276"/>
      <c r="V9" s="276"/>
      <c r="W9" s="276"/>
      <c r="X9" s="276"/>
      <c r="Y9" s="276"/>
      <c r="Z9" s="276"/>
      <c r="AA9" s="276"/>
      <c r="AB9" s="276"/>
      <c r="AC9" s="276"/>
    </row>
    <row r="10" spans="1:29">
      <c r="A10" s="281"/>
      <c r="B10" s="281"/>
      <c r="C10" s="281"/>
      <c r="D10" s="281"/>
      <c r="E10" s="281"/>
      <c r="F10" s="281"/>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row>
    <row r="11" spans="1:29">
      <c r="A11" s="284"/>
      <c r="B11" s="297" t="s">
        <v>658</v>
      </c>
      <c r="C11" s="294"/>
      <c r="D11" s="276"/>
      <c r="E11" s="297" t="s">
        <v>506</v>
      </c>
      <c r="F11" s="294"/>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row>
    <row r="12" spans="1:29">
      <c r="A12" s="284"/>
      <c r="B12" s="1384" t="s">
        <v>497</v>
      </c>
      <c r="C12" s="1384"/>
      <c r="D12" s="276"/>
      <c r="E12" s="1384" t="s">
        <v>640</v>
      </c>
      <c r="F12" s="1384"/>
      <c r="G12" s="276"/>
      <c r="H12" s="276"/>
      <c r="I12" s="276"/>
      <c r="J12" s="276"/>
      <c r="K12" s="276"/>
      <c r="L12" s="276"/>
      <c r="M12" s="276"/>
      <c r="N12" s="276"/>
      <c r="O12" s="276"/>
      <c r="P12" s="276"/>
      <c r="Q12" s="276"/>
      <c r="R12" s="276"/>
      <c r="S12" s="276"/>
      <c r="T12" s="276"/>
      <c r="U12" s="276"/>
      <c r="V12" s="276"/>
      <c r="W12" s="276"/>
      <c r="X12" s="276"/>
      <c r="Y12" s="276"/>
      <c r="Z12" s="276"/>
      <c r="AA12" s="276"/>
      <c r="AB12" s="276"/>
      <c r="AC12" s="276"/>
    </row>
    <row r="13" spans="1:29">
      <c r="A13" s="284"/>
      <c r="B13" s="1384" t="s">
        <v>496</v>
      </c>
      <c r="C13" s="1384"/>
      <c r="D13" s="276"/>
      <c r="E13" s="1384" t="s">
        <v>639</v>
      </c>
      <c r="F13" s="1384"/>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row>
    <row r="14" spans="1:29">
      <c r="A14" s="284"/>
      <c r="B14" s="1384" t="s">
        <v>620</v>
      </c>
      <c r="C14" s="1384"/>
      <c r="D14" s="276"/>
      <c r="E14" s="296" t="s">
        <v>507</v>
      </c>
      <c r="F14" s="294"/>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row>
    <row r="15" spans="1:29" ht="12.6" customHeight="1">
      <c r="A15" s="281"/>
      <c r="B15" s="1384" t="s">
        <v>621</v>
      </c>
      <c r="C15" s="1384"/>
      <c r="D15" s="276"/>
      <c r="E15" s="1384" t="s">
        <v>623</v>
      </c>
      <c r="F15" s="1384"/>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row>
    <row r="16" spans="1:29" ht="12.6" customHeight="1">
      <c r="A16" s="281"/>
      <c r="B16" s="1384" t="s">
        <v>622</v>
      </c>
      <c r="C16" s="1384"/>
      <c r="D16" s="276"/>
      <c r="E16" s="1384" t="s">
        <v>624</v>
      </c>
      <c r="F16" s="1384"/>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row>
    <row r="17" spans="1:29">
      <c r="A17" s="281"/>
      <c r="B17" s="1384" t="s">
        <v>498</v>
      </c>
      <c r="C17" s="1384"/>
      <c r="D17" s="276"/>
      <c r="E17" s="1384" t="s">
        <v>508</v>
      </c>
      <c r="F17" s="1384"/>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row>
    <row r="18" spans="1:29" ht="12.75" customHeight="1">
      <c r="A18" s="284"/>
      <c r="B18" s="296" t="s">
        <v>499</v>
      </c>
      <c r="C18" s="294"/>
      <c r="D18" s="276"/>
      <c r="E18" s="1384" t="s">
        <v>641</v>
      </c>
      <c r="F18" s="1384"/>
      <c r="G18" s="293"/>
      <c r="H18" s="276"/>
      <c r="I18" s="276"/>
      <c r="J18" s="276"/>
      <c r="K18" s="276"/>
      <c r="L18" s="276"/>
      <c r="M18" s="276"/>
      <c r="N18" s="276"/>
      <c r="O18" s="276"/>
      <c r="P18" s="276"/>
      <c r="Q18" s="276"/>
      <c r="R18" s="276"/>
      <c r="S18" s="276"/>
      <c r="T18" s="276"/>
      <c r="U18" s="276"/>
      <c r="V18" s="276"/>
      <c r="W18" s="276"/>
      <c r="X18" s="276"/>
      <c r="Y18" s="276"/>
      <c r="Z18" s="276"/>
      <c r="AA18" s="276"/>
      <c r="AB18" s="276"/>
      <c r="AC18" s="276"/>
    </row>
    <row r="19" spans="1:29" ht="12.75" customHeight="1">
      <c r="A19" s="281"/>
      <c r="B19" s="1384" t="s">
        <v>623</v>
      </c>
      <c r="C19" s="1384"/>
      <c r="D19" s="1384"/>
      <c r="E19" s="1384" t="s">
        <v>642</v>
      </c>
      <c r="F19" s="1384"/>
      <c r="G19" s="293"/>
      <c r="H19" s="276"/>
      <c r="I19" s="276"/>
      <c r="J19" s="276"/>
      <c r="K19" s="276"/>
      <c r="L19" s="276"/>
      <c r="M19" s="276"/>
      <c r="N19" s="276"/>
      <c r="O19" s="276"/>
      <c r="P19" s="276"/>
      <c r="Q19" s="276"/>
      <c r="R19" s="276"/>
      <c r="S19" s="276"/>
      <c r="T19" s="276"/>
      <c r="U19" s="276"/>
      <c r="V19" s="276"/>
      <c r="W19" s="276"/>
      <c r="X19" s="276"/>
      <c r="Y19" s="276"/>
      <c r="Z19" s="276"/>
      <c r="AA19" s="276"/>
      <c r="AB19" s="276"/>
      <c r="AC19" s="276"/>
    </row>
    <row r="20" spans="1:29" ht="12.75" customHeight="1">
      <c r="A20" s="281"/>
      <c r="B20" s="1384" t="s">
        <v>624</v>
      </c>
      <c r="C20" s="1384"/>
      <c r="D20" s="1384"/>
      <c r="E20" s="296" t="s">
        <v>279</v>
      </c>
      <c r="F20" s="293"/>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row>
    <row r="21" spans="1:29">
      <c r="A21" s="281"/>
      <c r="B21" s="1384" t="s">
        <v>935</v>
      </c>
      <c r="C21" s="1384"/>
      <c r="D21" s="1384"/>
      <c r="E21" s="1384" t="s">
        <v>510</v>
      </c>
      <c r="F21" s="1384"/>
      <c r="G21" s="311"/>
      <c r="H21" s="311"/>
      <c r="I21" s="311"/>
      <c r="J21" s="276"/>
      <c r="K21" s="276"/>
      <c r="L21" s="276"/>
      <c r="M21" s="276"/>
      <c r="N21" s="276"/>
      <c r="O21" s="276"/>
      <c r="P21" s="276"/>
      <c r="Q21" s="276"/>
      <c r="R21" s="276"/>
      <c r="S21" s="276"/>
      <c r="T21" s="276"/>
      <c r="U21" s="276"/>
      <c r="V21" s="276"/>
      <c r="W21" s="276"/>
      <c r="X21" s="276"/>
      <c r="Y21" s="276"/>
      <c r="Z21" s="276"/>
      <c r="AA21" s="276"/>
      <c r="AB21" s="276"/>
      <c r="AC21" s="276"/>
    </row>
    <row r="22" spans="1:29" ht="12.75" customHeight="1">
      <c r="A22" s="284"/>
      <c r="B22" s="297" t="s">
        <v>625</v>
      </c>
      <c r="C22" s="294"/>
      <c r="D22" s="276"/>
      <c r="E22" s="1397" t="s">
        <v>509</v>
      </c>
      <c r="F22" s="1397"/>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row>
    <row r="23" spans="1:29" ht="12.75" customHeight="1">
      <c r="A23" s="284"/>
      <c r="B23" s="1384" t="s">
        <v>623</v>
      </c>
      <c r="C23" s="1384"/>
      <c r="D23" s="1384"/>
      <c r="E23" s="296" t="s">
        <v>280</v>
      </c>
      <c r="F23" s="294"/>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row>
    <row r="24" spans="1:29" ht="12.75" customHeight="1">
      <c r="A24" s="281"/>
      <c r="B24" s="1384" t="s">
        <v>624</v>
      </c>
      <c r="C24" s="1384"/>
      <c r="D24" s="1384"/>
      <c r="E24" s="1384" t="s">
        <v>511</v>
      </c>
      <c r="F24" s="1384"/>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row>
    <row r="25" spans="1:29" ht="12.75" customHeight="1">
      <c r="A25" s="284"/>
      <c r="B25" s="297" t="s">
        <v>500</v>
      </c>
      <c r="C25" s="294"/>
      <c r="D25" s="276"/>
      <c r="E25" s="1384" t="s">
        <v>509</v>
      </c>
      <c r="F25" s="1384"/>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row>
    <row r="26" spans="1:29" ht="12.75" customHeight="1">
      <c r="A26" s="284"/>
      <c r="B26" s="1384" t="s">
        <v>501</v>
      </c>
      <c r="C26" s="1384"/>
      <c r="D26" s="1384"/>
      <c r="E26" s="297" t="s">
        <v>143</v>
      </c>
      <c r="F26" s="294"/>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row>
    <row r="27" spans="1:29" ht="12.6" customHeight="1">
      <c r="A27" s="284"/>
      <c r="B27" s="1384" t="s">
        <v>502</v>
      </c>
      <c r="C27" s="1384"/>
      <c r="D27" s="276"/>
      <c r="E27" s="1384" t="s">
        <v>610</v>
      </c>
      <c r="F27" s="1384"/>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row>
    <row r="28" spans="1:29" ht="12.75" customHeight="1">
      <c r="A28" s="281"/>
      <c r="B28" s="1384" t="s">
        <v>503</v>
      </c>
      <c r="C28" s="1384"/>
      <c r="D28" s="276"/>
      <c r="E28" s="1384" t="s">
        <v>611</v>
      </c>
      <c r="F28" s="1384"/>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row>
    <row r="29" spans="1:29" ht="12.75" customHeight="1">
      <c r="A29" s="281"/>
      <c r="B29" s="1384" t="s">
        <v>626</v>
      </c>
      <c r="C29" s="1384"/>
      <c r="D29" s="276"/>
      <c r="E29" s="1384" t="s">
        <v>612</v>
      </c>
      <c r="F29" s="1384"/>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row>
    <row r="30" spans="1:29" ht="12.95" customHeight="1">
      <c r="A30" s="284"/>
      <c r="B30" s="296" t="s">
        <v>504</v>
      </c>
      <c r="C30" s="294"/>
      <c r="D30" s="276"/>
      <c r="E30" s="293"/>
      <c r="F30" s="293"/>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row>
    <row r="31" spans="1:29" ht="12.75" customHeight="1">
      <c r="A31" s="284"/>
      <c r="B31" s="1384" t="s">
        <v>627</v>
      </c>
      <c r="C31" s="1384"/>
      <c r="D31" s="1384"/>
      <c r="E31" s="294"/>
      <c r="F31" s="293"/>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row>
    <row r="32" spans="1:29" ht="12.75" customHeight="1">
      <c r="A32" s="284"/>
      <c r="B32" s="1384" t="s">
        <v>629</v>
      </c>
      <c r="C32" s="1384"/>
      <c r="D32" s="1384"/>
      <c r="E32" s="293"/>
      <c r="F32" s="293"/>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row>
    <row r="33" spans="1:29" ht="12.75" customHeight="1">
      <c r="A33" s="281"/>
      <c r="B33" s="1384" t="s">
        <v>630</v>
      </c>
      <c r="C33" s="1384"/>
      <c r="D33" s="1384"/>
      <c r="E33" s="293"/>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row>
    <row r="34" spans="1:29">
      <c r="A34" s="284"/>
      <c r="B34" s="296" t="s">
        <v>505</v>
      </c>
      <c r="C34" s="294"/>
      <c r="D34" s="294"/>
      <c r="E34" s="293"/>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row>
    <row r="35" spans="1:29" ht="12.75" customHeight="1">
      <c r="A35" s="284"/>
      <c r="B35" s="1384" t="s">
        <v>627</v>
      </c>
      <c r="C35" s="1384"/>
      <c r="D35" s="1384"/>
      <c r="E35" s="293"/>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row>
    <row r="36" spans="1:29" ht="12.75" customHeight="1">
      <c r="A36" s="284"/>
      <c r="B36" s="1384" t="s">
        <v>631</v>
      </c>
      <c r="C36" s="1384"/>
      <c r="D36" s="1384"/>
      <c r="E36" s="293"/>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row>
    <row r="37" spans="1:29" ht="12.75" customHeight="1">
      <c r="A37" s="281"/>
      <c r="B37" s="1384" t="s">
        <v>632</v>
      </c>
      <c r="C37" s="1384"/>
      <c r="D37" s="1384"/>
      <c r="E37" s="293"/>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row>
    <row r="38" spans="1:29" ht="12.75" customHeight="1">
      <c r="A38" s="281"/>
      <c r="B38" s="1384" t="s">
        <v>633</v>
      </c>
      <c r="C38" s="1384"/>
      <c r="D38" s="1384"/>
      <c r="E38" s="293"/>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row>
    <row r="39" spans="1:29" ht="12.75" customHeight="1">
      <c r="A39" s="284"/>
      <c r="B39" s="276"/>
      <c r="C39" s="276"/>
      <c r="D39" s="294"/>
      <c r="E39" s="294"/>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row>
    <row r="40" spans="1:29">
      <c r="A40" s="308" t="s">
        <v>523</v>
      </c>
      <c r="B40" s="309"/>
      <c r="C40" s="309"/>
      <c r="D40" s="309"/>
      <c r="E40" s="309"/>
      <c r="F40" s="310"/>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row>
    <row r="41" spans="1:29" ht="40.5" customHeight="1">
      <c r="A41" s="1388" t="s">
        <v>644</v>
      </c>
      <c r="B41" s="1388"/>
      <c r="C41" s="1388"/>
      <c r="D41" s="1388"/>
      <c r="E41" s="1388"/>
      <c r="F41" s="1388"/>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row>
    <row r="42" spans="1:29" ht="12.75" customHeight="1">
      <c r="A42" s="298"/>
      <c r="B42" s="276"/>
      <c r="C42" s="276"/>
      <c r="D42" s="295"/>
      <c r="E42" s="295"/>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row>
    <row r="43" spans="1:29" ht="12.75" customHeight="1">
      <c r="A43" s="284"/>
      <c r="B43" s="313" t="s">
        <v>512</v>
      </c>
      <c r="C43" s="306"/>
      <c r="D43" s="307"/>
      <c r="E43" s="307"/>
      <c r="F43" s="30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row>
    <row r="44" spans="1:29" ht="12.95" customHeight="1">
      <c r="A44" s="284"/>
      <c r="B44" s="1396" t="s">
        <v>645</v>
      </c>
      <c r="C44" s="1396"/>
      <c r="D44" s="1396"/>
      <c r="E44" s="1396"/>
      <c r="F44" s="139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row>
    <row r="45" spans="1:29" ht="25.5" customHeight="1">
      <c r="A45" s="284"/>
      <c r="B45" s="1390" t="s">
        <v>647</v>
      </c>
      <c r="C45" s="1390"/>
      <c r="D45" s="1390"/>
      <c r="E45" s="1390"/>
      <c r="F45" s="1390"/>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row>
    <row r="46" spans="1:29" ht="12.6" customHeight="1">
      <c r="A46" s="284"/>
      <c r="B46" s="1390" t="s">
        <v>646</v>
      </c>
      <c r="C46" s="1390"/>
      <c r="D46" s="1390"/>
      <c r="E46" s="1390"/>
      <c r="F46" s="1390"/>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row>
    <row r="47" spans="1:29" ht="12.75" customHeight="1" thickBot="1">
      <c r="A47" s="284"/>
      <c r="B47" s="299"/>
      <c r="C47" s="276"/>
      <c r="D47" s="293"/>
      <c r="E47" s="293"/>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row>
    <row r="48" spans="1:29" ht="12.75" customHeight="1" thickBot="1">
      <c r="A48" s="284"/>
      <c r="B48" s="280" t="s">
        <v>519</v>
      </c>
      <c r="C48" s="1385" t="s">
        <v>562</v>
      </c>
      <c r="D48" s="1386"/>
      <c r="E48" s="1386"/>
      <c r="F48" s="1387"/>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row>
    <row r="49" spans="1:29" ht="12.75" customHeight="1" thickBot="1">
      <c r="A49" s="284"/>
      <c r="B49" s="431" t="s">
        <v>862</v>
      </c>
      <c r="C49" s="921" t="s">
        <v>526</v>
      </c>
      <c r="D49" s="922" t="s">
        <v>514</v>
      </c>
      <c r="E49" s="922" t="s">
        <v>515</v>
      </c>
      <c r="F49" s="923" t="s">
        <v>516</v>
      </c>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row>
    <row r="50" spans="1:29" ht="12.75" customHeight="1">
      <c r="A50" s="284"/>
      <c r="B50" s="303" t="s">
        <v>845</v>
      </c>
      <c r="C50" s="927">
        <v>7.9</v>
      </c>
      <c r="D50" s="927">
        <v>8.1</v>
      </c>
      <c r="E50" s="927">
        <v>11.4</v>
      </c>
      <c r="F50" s="928">
        <v>9</v>
      </c>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row>
    <row r="51" spans="1:29" ht="12.75" customHeight="1">
      <c r="A51" s="284"/>
      <c r="B51" s="354" t="s">
        <v>846</v>
      </c>
      <c r="C51" s="929" t="s">
        <v>1301</v>
      </c>
      <c r="D51" s="930">
        <v>67.3</v>
      </c>
      <c r="E51" s="930">
        <v>53.7</v>
      </c>
      <c r="F51" s="931" t="s">
        <v>1301</v>
      </c>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row>
    <row r="52" spans="1:29" ht="12.75" customHeight="1">
      <c r="A52" s="284"/>
      <c r="B52" s="354" t="s">
        <v>847</v>
      </c>
      <c r="C52" s="930">
        <v>29.7</v>
      </c>
      <c r="D52" s="930">
        <v>43</v>
      </c>
      <c r="E52" s="930">
        <v>52.7</v>
      </c>
      <c r="F52" s="932">
        <v>36.9</v>
      </c>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row>
    <row r="53" spans="1:29" ht="12.75" customHeight="1">
      <c r="A53" s="284"/>
      <c r="B53" s="354" t="s">
        <v>848</v>
      </c>
      <c r="C53" s="930">
        <v>19</v>
      </c>
      <c r="D53" s="930">
        <v>25</v>
      </c>
      <c r="E53" s="930">
        <v>27.3</v>
      </c>
      <c r="F53" s="932">
        <v>22.2</v>
      </c>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row>
    <row r="54" spans="1:29" ht="12.75" customHeight="1">
      <c r="A54" s="284"/>
      <c r="B54" s="926" t="s">
        <v>849</v>
      </c>
      <c r="C54" s="930">
        <v>22.4</v>
      </c>
      <c r="D54" s="930">
        <v>28.3</v>
      </c>
      <c r="E54" s="930">
        <v>32.200000000000003</v>
      </c>
      <c r="F54" s="932">
        <v>29.5</v>
      </c>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row>
    <row r="55" spans="1:29" ht="12.75" customHeight="1">
      <c r="A55" s="284"/>
      <c r="B55" s="926" t="s">
        <v>850</v>
      </c>
      <c r="C55" s="930">
        <v>15.9</v>
      </c>
      <c r="D55" s="930">
        <v>18.600000000000001</v>
      </c>
      <c r="E55" s="930">
        <v>19.600000000000001</v>
      </c>
      <c r="F55" s="932">
        <v>15.9</v>
      </c>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row>
    <row r="56" spans="1:29" ht="12.75" customHeight="1">
      <c r="A56" s="284"/>
      <c r="B56" s="354" t="s">
        <v>851</v>
      </c>
      <c r="C56" s="930">
        <v>13.7</v>
      </c>
      <c r="D56" s="930">
        <v>14.8</v>
      </c>
      <c r="E56" s="930">
        <v>15.2</v>
      </c>
      <c r="F56" s="932">
        <v>13.2</v>
      </c>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row>
    <row r="57" spans="1:29" ht="12.75" customHeight="1">
      <c r="A57" s="284"/>
      <c r="B57" s="354" t="s">
        <v>852</v>
      </c>
      <c r="C57" s="930">
        <v>15.1</v>
      </c>
      <c r="D57" s="930">
        <v>15.4</v>
      </c>
      <c r="E57" s="930">
        <v>17.8</v>
      </c>
      <c r="F57" s="932">
        <v>17.2</v>
      </c>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row>
    <row r="58" spans="1:29" ht="12.75" customHeight="1">
      <c r="A58" s="284"/>
      <c r="B58" s="926" t="s">
        <v>853</v>
      </c>
      <c r="C58" s="930">
        <v>11.3</v>
      </c>
      <c r="D58" s="930">
        <v>12.7</v>
      </c>
      <c r="E58" s="930">
        <v>15.3</v>
      </c>
      <c r="F58" s="932">
        <v>13</v>
      </c>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row>
    <row r="59" spans="1:29" ht="12.75" customHeight="1">
      <c r="A59" s="284"/>
      <c r="B59" s="926" t="s">
        <v>854</v>
      </c>
      <c r="C59" s="930">
        <v>17.899999999999999</v>
      </c>
      <c r="D59" s="930">
        <v>18.899999999999999</v>
      </c>
      <c r="E59" s="930">
        <v>20.2</v>
      </c>
      <c r="F59" s="932">
        <v>20.100000000000001</v>
      </c>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row>
    <row r="60" spans="1:29" ht="12.75" customHeight="1">
      <c r="A60" s="284"/>
      <c r="B60" s="354" t="s">
        <v>248</v>
      </c>
      <c r="C60" s="930">
        <v>13.8</v>
      </c>
      <c r="D60" s="930">
        <v>12</v>
      </c>
      <c r="E60" s="930">
        <v>15.4</v>
      </c>
      <c r="F60" s="932">
        <v>12.5</v>
      </c>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row>
    <row r="61" spans="1:29" ht="12.75" customHeight="1">
      <c r="A61" s="284"/>
      <c r="B61" s="354" t="s">
        <v>855</v>
      </c>
      <c r="C61" s="930">
        <v>9.6</v>
      </c>
      <c r="D61" s="930">
        <v>11.6</v>
      </c>
      <c r="E61" s="930">
        <v>15.1</v>
      </c>
      <c r="F61" s="932">
        <v>9.4</v>
      </c>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row>
    <row r="62" spans="1:29" ht="12.75" customHeight="1">
      <c r="A62" s="284"/>
      <c r="B62" s="354" t="s">
        <v>856</v>
      </c>
      <c r="C62" s="929" t="s">
        <v>1301</v>
      </c>
      <c r="D62" s="929" t="s">
        <v>1301</v>
      </c>
      <c r="E62" s="930">
        <v>16.7</v>
      </c>
      <c r="F62" s="932">
        <v>11.6</v>
      </c>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row>
    <row r="63" spans="1:29" ht="12.75" customHeight="1">
      <c r="A63" s="284"/>
      <c r="B63" s="354" t="s">
        <v>857</v>
      </c>
      <c r="C63" s="930">
        <v>5.0999999999999996</v>
      </c>
      <c r="D63" s="930">
        <v>4.2</v>
      </c>
      <c r="E63" s="930">
        <v>5.4</v>
      </c>
      <c r="F63" s="932">
        <v>4.2</v>
      </c>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row>
    <row r="64" spans="1:29" ht="12.75" customHeight="1">
      <c r="A64" s="284"/>
      <c r="B64" s="354" t="s">
        <v>858</v>
      </c>
      <c r="C64" s="930">
        <v>7.3</v>
      </c>
      <c r="D64" s="930">
        <v>5.7</v>
      </c>
      <c r="E64" s="930">
        <v>9</v>
      </c>
      <c r="F64" s="932">
        <v>7.6</v>
      </c>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row>
    <row r="65" spans="1:29" ht="12.75" customHeight="1">
      <c r="A65" s="281"/>
      <c r="B65" s="354" t="s">
        <v>859</v>
      </c>
      <c r="C65" s="930">
        <v>6</v>
      </c>
      <c r="D65" s="930">
        <v>5.2</v>
      </c>
      <c r="E65" s="930">
        <v>6.5</v>
      </c>
      <c r="F65" s="932">
        <v>5.5</v>
      </c>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row>
    <row r="66" spans="1:29" ht="12.75" customHeight="1">
      <c r="A66" s="284"/>
      <c r="B66" s="354" t="s">
        <v>860</v>
      </c>
      <c r="C66" s="930">
        <v>31.4</v>
      </c>
      <c r="D66" s="930">
        <v>24</v>
      </c>
      <c r="E66" s="930">
        <v>25.3</v>
      </c>
      <c r="F66" s="932">
        <v>45.5</v>
      </c>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row>
    <row r="67" spans="1:29" ht="12.75" customHeight="1" thickBot="1">
      <c r="A67" s="281"/>
      <c r="B67" s="304" t="s">
        <v>861</v>
      </c>
      <c r="C67" s="933" t="s">
        <v>1301</v>
      </c>
      <c r="D67" s="934">
        <v>4.2</v>
      </c>
      <c r="E67" s="934">
        <v>4.9000000000000004</v>
      </c>
      <c r="F67" s="935" t="s">
        <v>1301</v>
      </c>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row>
    <row r="68" spans="1:29" ht="12.75" customHeight="1" thickBot="1">
      <c r="A68" s="281"/>
      <c r="B68" s="276"/>
      <c r="C68" s="595"/>
      <c r="D68" s="595"/>
      <c r="E68" s="595"/>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row>
    <row r="69" spans="1:29" ht="12.75" customHeight="1" thickBot="1">
      <c r="A69" s="281"/>
      <c r="B69" s="280" t="s">
        <v>520</v>
      </c>
      <c r="C69" s="1385" t="s">
        <v>563</v>
      </c>
      <c r="D69" s="1386"/>
      <c r="E69" s="1386"/>
      <c r="F69" s="1387"/>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row>
    <row r="70" spans="1:29" ht="12.75" customHeight="1" thickBot="1">
      <c r="A70" s="281"/>
      <c r="B70" s="431" t="s">
        <v>862</v>
      </c>
      <c r="C70" s="921" t="s">
        <v>526</v>
      </c>
      <c r="D70" s="922" t="s">
        <v>514</v>
      </c>
      <c r="E70" s="922" t="s">
        <v>515</v>
      </c>
      <c r="F70" s="923" t="s">
        <v>516</v>
      </c>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row>
    <row r="71" spans="1:29" ht="12.75" customHeight="1">
      <c r="A71" s="281"/>
      <c r="B71" s="303" t="s">
        <v>845</v>
      </c>
      <c r="C71" s="927">
        <v>41.5</v>
      </c>
      <c r="D71" s="927">
        <v>38.700000000000003</v>
      </c>
      <c r="E71" s="927">
        <v>21.2</v>
      </c>
      <c r="F71" s="928">
        <v>21.9</v>
      </c>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row>
    <row r="72" spans="1:29" ht="12.75" customHeight="1">
      <c r="A72" s="281"/>
      <c r="B72" s="354" t="s">
        <v>846</v>
      </c>
      <c r="C72" s="929" t="s">
        <v>1301</v>
      </c>
      <c r="D72" s="930">
        <v>75.400000000000006</v>
      </c>
      <c r="E72" s="929" t="s">
        <v>1301</v>
      </c>
      <c r="F72" s="931" t="s">
        <v>1301</v>
      </c>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row>
    <row r="73" spans="1:29" ht="12.75" customHeight="1">
      <c r="A73" s="281"/>
      <c r="B73" s="354" t="s">
        <v>847</v>
      </c>
      <c r="C73" s="929" t="s">
        <v>1301</v>
      </c>
      <c r="D73" s="930">
        <v>212</v>
      </c>
      <c r="E73" s="930">
        <v>152.19999999999999</v>
      </c>
      <c r="F73" s="932">
        <v>106.4</v>
      </c>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row>
    <row r="74" spans="1:29" ht="12.75" customHeight="1">
      <c r="A74" s="281"/>
      <c r="B74" s="354" t="s">
        <v>848</v>
      </c>
      <c r="C74" s="930">
        <v>58.2</v>
      </c>
      <c r="D74" s="930">
        <v>59.4</v>
      </c>
      <c r="E74" s="930">
        <v>63.5</v>
      </c>
      <c r="F74" s="932">
        <v>54.2</v>
      </c>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row>
    <row r="75" spans="1:29" ht="12.75" customHeight="1">
      <c r="A75" s="281"/>
      <c r="B75" s="926" t="s">
        <v>849</v>
      </c>
      <c r="C75" s="930">
        <v>89.5</v>
      </c>
      <c r="D75" s="930">
        <v>71.099999999999994</v>
      </c>
      <c r="E75" s="930">
        <v>76</v>
      </c>
      <c r="F75" s="932">
        <v>84</v>
      </c>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row>
    <row r="76" spans="1:29" ht="12.75" customHeight="1">
      <c r="A76" s="281"/>
      <c r="B76" s="926" t="s">
        <v>850</v>
      </c>
      <c r="C76" s="930">
        <v>30.9</v>
      </c>
      <c r="D76" s="930">
        <v>34</v>
      </c>
      <c r="E76" s="930">
        <v>22.8</v>
      </c>
      <c r="F76" s="932">
        <v>22.4</v>
      </c>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row>
    <row r="77" spans="1:29" ht="12.75" customHeight="1">
      <c r="A77" s="281"/>
      <c r="B77" s="354" t="s">
        <v>851</v>
      </c>
      <c r="C77" s="930">
        <v>45.7</v>
      </c>
      <c r="D77" s="930">
        <v>44.1</v>
      </c>
      <c r="E77" s="930">
        <v>27.1</v>
      </c>
      <c r="F77" s="932">
        <v>38.6</v>
      </c>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row>
    <row r="78" spans="1:29" ht="12.75" customHeight="1">
      <c r="A78" s="281"/>
      <c r="B78" s="354" t="s">
        <v>852</v>
      </c>
      <c r="C78" s="930">
        <v>41.9</v>
      </c>
      <c r="D78" s="930">
        <v>41.4</v>
      </c>
      <c r="E78" s="930">
        <v>28.9</v>
      </c>
      <c r="F78" s="932">
        <v>37.1</v>
      </c>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row>
    <row r="79" spans="1:29" ht="12.75" customHeight="1">
      <c r="A79" s="281"/>
      <c r="B79" s="926" t="s">
        <v>853</v>
      </c>
      <c r="C79" s="930">
        <v>25</v>
      </c>
      <c r="D79" s="930">
        <v>26.4</v>
      </c>
      <c r="E79" s="930">
        <v>20</v>
      </c>
      <c r="F79" s="932">
        <v>22.5</v>
      </c>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row>
    <row r="80" spans="1:29" ht="12.75" customHeight="1">
      <c r="A80" s="281"/>
      <c r="B80" s="926" t="s">
        <v>854</v>
      </c>
      <c r="C80" s="930">
        <v>49.2</v>
      </c>
      <c r="D80" s="930">
        <v>58.9</v>
      </c>
      <c r="E80" s="930">
        <v>34.200000000000003</v>
      </c>
      <c r="F80" s="932">
        <v>43.9</v>
      </c>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row>
    <row r="81" spans="1:29" ht="12.75" customHeight="1">
      <c r="A81" s="281"/>
      <c r="B81" s="354" t="s">
        <v>248</v>
      </c>
      <c r="C81" s="930">
        <v>20.6</v>
      </c>
      <c r="D81" s="930">
        <v>26.3</v>
      </c>
      <c r="E81" s="930">
        <v>18.7</v>
      </c>
      <c r="F81" s="932">
        <v>18.600000000000001</v>
      </c>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row>
    <row r="82" spans="1:29" ht="12.75" customHeight="1">
      <c r="A82" s="281"/>
      <c r="B82" s="354" t="s">
        <v>855</v>
      </c>
      <c r="C82" s="930">
        <v>52.6</v>
      </c>
      <c r="D82" s="930">
        <v>48.5</v>
      </c>
      <c r="E82" s="930">
        <v>28.7</v>
      </c>
      <c r="F82" s="932">
        <v>33.5</v>
      </c>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row>
    <row r="83" spans="1:29" ht="12.75" customHeight="1">
      <c r="A83" s="281"/>
      <c r="B83" s="354" t="s">
        <v>856</v>
      </c>
      <c r="C83" s="929" t="s">
        <v>1301</v>
      </c>
      <c r="D83" s="929" t="s">
        <v>1301</v>
      </c>
      <c r="E83" s="930">
        <v>40.200000000000003</v>
      </c>
      <c r="F83" s="932">
        <v>34.799999999999997</v>
      </c>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row>
    <row r="84" spans="1:29" ht="12.75" customHeight="1">
      <c r="A84" s="281"/>
      <c r="B84" s="354" t="s">
        <v>857</v>
      </c>
      <c r="C84" s="930">
        <v>33.799999999999997</v>
      </c>
      <c r="D84" s="930">
        <v>28.6</v>
      </c>
      <c r="E84" s="930">
        <v>16.7</v>
      </c>
      <c r="F84" s="932">
        <v>17.399999999999999</v>
      </c>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row>
    <row r="85" spans="1:29" ht="12.75" customHeight="1">
      <c r="A85" s="281"/>
      <c r="B85" s="354" t="s">
        <v>858</v>
      </c>
      <c r="C85" s="930">
        <v>38.200000000000003</v>
      </c>
      <c r="D85" s="930">
        <v>38.299999999999997</v>
      </c>
      <c r="E85" s="930">
        <v>51.3</v>
      </c>
      <c r="F85" s="932">
        <v>39.1</v>
      </c>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row>
    <row r="86" spans="1:29" ht="12.75" customHeight="1">
      <c r="A86" s="284"/>
      <c r="B86" s="354" t="s">
        <v>859</v>
      </c>
      <c r="C86" s="930">
        <v>19.3</v>
      </c>
      <c r="D86" s="930">
        <v>27.7</v>
      </c>
      <c r="E86" s="930">
        <v>13.5</v>
      </c>
      <c r="F86" s="932">
        <v>10.4</v>
      </c>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row>
    <row r="87" spans="1:29" ht="12.75" customHeight="1">
      <c r="A87" s="281"/>
      <c r="B87" s="354" t="s">
        <v>860</v>
      </c>
      <c r="C87" s="930">
        <v>38.700000000000003</v>
      </c>
      <c r="D87" s="929" t="s">
        <v>1301</v>
      </c>
      <c r="E87" s="930">
        <v>21.2</v>
      </c>
      <c r="F87" s="931" t="s">
        <v>1301</v>
      </c>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row>
    <row r="88" spans="1:29" ht="12.75" customHeight="1" thickBot="1">
      <c r="A88" s="281"/>
      <c r="B88" s="304" t="s">
        <v>861</v>
      </c>
      <c r="C88" s="933" t="s">
        <v>1301</v>
      </c>
      <c r="D88" s="933" t="s">
        <v>1301</v>
      </c>
      <c r="E88" s="933" t="s">
        <v>1301</v>
      </c>
      <c r="F88" s="935" t="s">
        <v>1301</v>
      </c>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row>
    <row r="89" spans="1:29" ht="12.75" customHeight="1" thickBot="1">
      <c r="A89" s="281"/>
      <c r="B89" s="276"/>
      <c r="C89" s="595"/>
      <c r="D89" s="595"/>
      <c r="E89" s="595"/>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row>
    <row r="90" spans="1:29" ht="12.75" customHeight="1" thickBot="1">
      <c r="A90" s="284"/>
      <c r="B90" s="280" t="s">
        <v>521</v>
      </c>
      <c r="C90" s="1385" t="s">
        <v>564</v>
      </c>
      <c r="D90" s="1386"/>
      <c r="E90" s="1386"/>
      <c r="F90" s="1387"/>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row>
    <row r="91" spans="1:29" ht="12.75" customHeight="1" thickBot="1">
      <c r="A91" s="281"/>
      <c r="B91" s="431" t="s">
        <v>862</v>
      </c>
      <c r="C91" s="300" t="s">
        <v>526</v>
      </c>
      <c r="D91" s="301" t="s">
        <v>514</v>
      </c>
      <c r="E91" s="301" t="s">
        <v>515</v>
      </c>
      <c r="F91" s="302" t="s">
        <v>516</v>
      </c>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row>
    <row r="92" spans="1:29" ht="12.75" customHeight="1">
      <c r="A92" s="281"/>
      <c r="B92" s="303" t="s">
        <v>845</v>
      </c>
      <c r="C92" s="936">
        <v>0.1305</v>
      </c>
      <c r="D92" s="936">
        <v>2.8799999999999999E-2</v>
      </c>
      <c r="E92" s="936">
        <v>4.3200000000000002E-2</v>
      </c>
      <c r="F92" s="937" t="s">
        <v>1301</v>
      </c>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row>
    <row r="93" spans="1:29">
      <c r="A93" s="276"/>
      <c r="B93" s="354" t="s">
        <v>848</v>
      </c>
      <c r="C93" s="938">
        <v>4.8000000000000001E-2</v>
      </c>
      <c r="D93" s="938">
        <v>2.01E-2</v>
      </c>
      <c r="E93" s="938">
        <v>9.9000000000000008E-3</v>
      </c>
      <c r="F93" s="939" t="s">
        <v>1301</v>
      </c>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row>
    <row r="94" spans="1:29">
      <c r="A94" s="276"/>
      <c r="B94" s="354" t="s">
        <v>248</v>
      </c>
      <c r="C94" s="938">
        <v>4.4499999999999998E-2</v>
      </c>
      <c r="D94" s="938">
        <v>5.1999999999999998E-3</v>
      </c>
      <c r="E94" s="938">
        <v>5.7000000000000002E-3</v>
      </c>
      <c r="F94" s="940">
        <v>2E-3</v>
      </c>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row>
    <row r="95" spans="1:29" ht="13.5" thickBot="1">
      <c r="A95" s="276"/>
      <c r="B95" s="304" t="s">
        <v>522</v>
      </c>
      <c r="C95" s="941">
        <v>9.1499999999999998E-2</v>
      </c>
      <c r="D95" s="941">
        <v>1.7000000000000001E-2</v>
      </c>
      <c r="E95" s="941">
        <v>1.4500000000000001E-2</v>
      </c>
      <c r="F95" s="942" t="s">
        <v>1301</v>
      </c>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row>
    <row r="96" spans="1:29">
      <c r="A96" s="276"/>
      <c r="B96" s="299"/>
      <c r="C96" s="596"/>
      <c r="D96" s="596"/>
      <c r="E96" s="596"/>
      <c r="F96" s="59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row>
    <row r="97" spans="1:29" ht="15">
      <c r="A97" s="276"/>
      <c r="B97" s="312" t="s">
        <v>283</v>
      </c>
      <c r="C97" s="305"/>
      <c r="D97" s="305"/>
      <c r="E97" s="305"/>
      <c r="F97" s="305"/>
      <c r="G97" s="305"/>
      <c r="H97" s="305"/>
      <c r="I97" s="305"/>
      <c r="J97" s="305"/>
      <c r="K97" s="305"/>
      <c r="L97" s="305"/>
      <c r="M97" s="276"/>
      <c r="N97" s="276"/>
      <c r="O97" s="276"/>
      <c r="P97" s="276"/>
      <c r="Q97" s="276"/>
      <c r="R97" s="276"/>
      <c r="S97" s="276"/>
      <c r="T97" s="276"/>
      <c r="U97" s="276"/>
      <c r="V97" s="276"/>
      <c r="W97" s="276"/>
      <c r="X97" s="276"/>
      <c r="Y97" s="276"/>
      <c r="Z97" s="276"/>
      <c r="AA97" s="276"/>
      <c r="AB97" s="276"/>
      <c r="AC97" s="276"/>
    </row>
    <row r="98" spans="1:29" ht="33" customHeight="1">
      <c r="A98" s="276"/>
      <c r="B98" s="1383" t="s">
        <v>1306</v>
      </c>
      <c r="C98" s="1383"/>
      <c r="D98" s="1383"/>
      <c r="E98" s="1383"/>
      <c r="F98" s="903"/>
      <c r="G98" s="311"/>
      <c r="H98" s="305"/>
      <c r="I98" s="305"/>
      <c r="J98" s="305"/>
      <c r="K98" s="305"/>
      <c r="L98" s="276"/>
      <c r="M98" s="276"/>
      <c r="N98" s="276"/>
      <c r="O98" s="276"/>
      <c r="P98" s="276"/>
      <c r="Q98" s="276"/>
      <c r="R98" s="276"/>
      <c r="S98" s="276"/>
      <c r="T98" s="276"/>
      <c r="U98" s="276"/>
      <c r="V98" s="276"/>
      <c r="W98" s="276"/>
      <c r="X98" s="276"/>
      <c r="Y98" s="276"/>
      <c r="Z98" s="276"/>
      <c r="AA98" s="276"/>
      <c r="AB98" s="276"/>
      <c r="AC98" s="276"/>
    </row>
    <row r="99" spans="1:29">
      <c r="A99" s="276"/>
      <c r="B99" s="312" t="s">
        <v>863</v>
      </c>
      <c r="C99" s="312"/>
      <c r="D99" s="312"/>
      <c r="E99" s="312"/>
      <c r="F99" s="312"/>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row>
    <row r="100" spans="1:29">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row>
    <row r="101" spans="1:29">
      <c r="A101" s="276"/>
      <c r="B101" s="313" t="s">
        <v>648</v>
      </c>
      <c r="C101" s="306"/>
      <c r="D101" s="306"/>
      <c r="E101" s="306"/>
      <c r="F101" s="30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row>
    <row r="102" spans="1:29">
      <c r="A102" s="276"/>
      <c r="B102" s="299" t="s">
        <v>649</v>
      </c>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row>
    <row r="103" spans="1:29" ht="25.5" customHeight="1">
      <c r="A103" s="276"/>
      <c r="B103" s="1390" t="s">
        <v>651</v>
      </c>
      <c r="C103" s="1390"/>
      <c r="D103" s="1390"/>
      <c r="E103" s="1390"/>
      <c r="F103" s="1390"/>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row>
    <row r="104" spans="1:29" ht="25.5" customHeight="1">
      <c r="A104" s="276"/>
      <c r="B104" s="1390" t="s">
        <v>650</v>
      </c>
      <c r="C104" s="1390"/>
      <c r="D104" s="1390"/>
      <c r="E104" s="1390"/>
      <c r="F104" s="1390"/>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row>
    <row r="105" spans="1:29" ht="12.6" customHeight="1">
      <c r="A105" s="276"/>
      <c r="B105" s="1390" t="s">
        <v>652</v>
      </c>
      <c r="C105" s="1390"/>
      <c r="D105" s="1390"/>
      <c r="E105" s="1390"/>
      <c r="F105" s="1390"/>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row>
    <row r="106" spans="1:29">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row>
    <row r="107" spans="1:29">
      <c r="A107" s="276"/>
      <c r="B107" s="313" t="s">
        <v>659</v>
      </c>
      <c r="C107" s="306"/>
      <c r="D107" s="306"/>
      <c r="E107" s="306"/>
      <c r="F107" s="30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row>
    <row r="108" spans="1:29">
      <c r="A108" s="276"/>
      <c r="B108" s="299" t="s">
        <v>524</v>
      </c>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row>
    <row r="109" spans="1:29">
      <c r="A109" s="276"/>
      <c r="B109" s="1389" t="s">
        <v>565</v>
      </c>
      <c r="C109" s="1389"/>
      <c r="D109" s="1389"/>
      <c r="E109" s="1389"/>
      <c r="F109" s="1389"/>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row>
    <row r="110" spans="1:29">
      <c r="A110" s="276"/>
      <c r="B110" s="1389" t="s">
        <v>525</v>
      </c>
      <c r="C110" s="1389"/>
      <c r="D110" s="1389"/>
      <c r="E110" s="1389"/>
      <c r="F110" s="1389"/>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row>
    <row r="111" spans="1:29" ht="25.5" customHeight="1">
      <c r="A111" s="276"/>
      <c r="B111" s="1390" t="s">
        <v>566</v>
      </c>
      <c r="C111" s="1390"/>
      <c r="D111" s="1390"/>
      <c r="E111" s="1390"/>
      <c r="F111" s="1390"/>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row>
    <row r="112" spans="1:29">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row>
    <row r="113" spans="1:29">
      <c r="A113" s="276"/>
      <c r="B113" s="313" t="s">
        <v>909</v>
      </c>
      <c r="C113" s="306"/>
      <c r="D113" s="306"/>
      <c r="E113" s="306"/>
      <c r="F113" s="30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row>
    <row r="114" spans="1:29" s="276" customFormat="1">
      <c r="B114" s="597"/>
    </row>
    <row r="115" spans="1:29">
      <c r="A115" s="276"/>
      <c r="B115" s="316" t="s">
        <v>513</v>
      </c>
      <c r="C115" s="356" t="s">
        <v>157</v>
      </c>
      <c r="D115" s="276"/>
      <c r="E115" s="356"/>
      <c r="F115" s="356" t="s">
        <v>894</v>
      </c>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row>
    <row r="116" spans="1:29" ht="84.95" customHeight="1">
      <c r="A116" s="276"/>
      <c r="B116" s="602" t="s">
        <v>845</v>
      </c>
      <c r="C116" s="1391" t="s">
        <v>864</v>
      </c>
      <c r="D116" s="1392"/>
      <c r="E116" s="1393"/>
      <c r="F116" s="925" t="s">
        <v>895</v>
      </c>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row>
    <row r="117" spans="1:29" ht="37.5" customHeight="1">
      <c r="A117" s="276"/>
      <c r="B117" s="602" t="s">
        <v>865</v>
      </c>
      <c r="C117" s="1391" t="s">
        <v>866</v>
      </c>
      <c r="D117" s="1392"/>
      <c r="E117" s="1393"/>
      <c r="F117" s="925" t="s">
        <v>908</v>
      </c>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row>
    <row r="118" spans="1:29" ht="50.1" customHeight="1">
      <c r="A118" s="276"/>
      <c r="B118" s="602" t="s">
        <v>867</v>
      </c>
      <c r="C118" s="1391" t="s">
        <v>868</v>
      </c>
      <c r="D118" s="1392"/>
      <c r="E118" s="1393"/>
      <c r="F118" s="925" t="s">
        <v>907</v>
      </c>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row>
    <row r="119" spans="1:29" ht="36.950000000000003" customHeight="1">
      <c r="A119" s="276"/>
      <c r="B119" s="602" t="s">
        <v>869</v>
      </c>
      <c r="C119" s="1391" t="s">
        <v>870</v>
      </c>
      <c r="D119" s="1392"/>
      <c r="E119" s="1393"/>
      <c r="F119" s="925" t="s">
        <v>906</v>
      </c>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row>
    <row r="120" spans="1:29" ht="71.099999999999994" customHeight="1">
      <c r="A120" s="276"/>
      <c r="B120" s="602" t="s">
        <v>871</v>
      </c>
      <c r="C120" s="1391" t="s">
        <v>872</v>
      </c>
      <c r="D120" s="1392"/>
      <c r="E120" s="1393"/>
      <c r="F120" s="925" t="s">
        <v>905</v>
      </c>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row>
    <row r="121" spans="1:29" ht="62.45" customHeight="1">
      <c r="A121" s="276"/>
      <c r="B121" s="602" t="s">
        <v>873</v>
      </c>
      <c r="C121" s="1391" t="s">
        <v>874</v>
      </c>
      <c r="D121" s="1392"/>
      <c r="E121" s="1393"/>
      <c r="F121" s="925" t="s">
        <v>904</v>
      </c>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row>
    <row r="122" spans="1:29" ht="37.5" customHeight="1">
      <c r="A122" s="276"/>
      <c r="B122" s="602" t="s">
        <v>875</v>
      </c>
      <c r="C122" s="1391" t="s">
        <v>876</v>
      </c>
      <c r="D122" s="1392"/>
      <c r="E122" s="1393"/>
      <c r="F122" s="925" t="s">
        <v>903</v>
      </c>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row>
    <row r="123" spans="1:29" ht="23.1" customHeight="1">
      <c r="A123" s="276"/>
      <c r="B123" s="602" t="s">
        <v>877</v>
      </c>
      <c r="C123" s="1391" t="s">
        <v>878</v>
      </c>
      <c r="D123" s="1392"/>
      <c r="E123" s="1393"/>
      <c r="F123" s="925" t="s">
        <v>902</v>
      </c>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row>
    <row r="124" spans="1:29" ht="87.6" customHeight="1">
      <c r="A124" s="276"/>
      <c r="B124" s="602" t="s">
        <v>517</v>
      </c>
      <c r="C124" s="1391" t="s">
        <v>879</v>
      </c>
      <c r="D124" s="1392"/>
      <c r="E124" s="1393"/>
      <c r="F124" s="925" t="s">
        <v>901</v>
      </c>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row>
    <row r="125" spans="1:29" ht="120">
      <c r="A125" s="276"/>
      <c r="B125" s="602" t="s">
        <v>880</v>
      </c>
      <c r="C125" s="1391" t="s">
        <v>881</v>
      </c>
      <c r="D125" s="1392"/>
      <c r="E125" s="1393"/>
      <c r="F125" s="925" t="s">
        <v>900</v>
      </c>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row>
    <row r="126" spans="1:29" ht="37.5" customHeight="1">
      <c r="A126" s="276"/>
      <c r="B126" s="602" t="s">
        <v>882</v>
      </c>
      <c r="C126" s="1391" t="s">
        <v>883</v>
      </c>
      <c r="D126" s="1392"/>
      <c r="E126" s="1393"/>
      <c r="F126" s="925" t="s">
        <v>899</v>
      </c>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row>
    <row r="127" spans="1:29" ht="42.95" customHeight="1">
      <c r="A127" s="276"/>
      <c r="B127" s="602" t="s">
        <v>884</v>
      </c>
      <c r="C127" s="1391" t="s">
        <v>885</v>
      </c>
      <c r="D127" s="1392"/>
      <c r="E127" s="1393"/>
      <c r="F127" s="925" t="s">
        <v>886</v>
      </c>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row>
    <row r="128" spans="1:29" ht="84">
      <c r="A128" s="276"/>
      <c r="B128" s="602" t="s">
        <v>887</v>
      </c>
      <c r="C128" s="1391" t="s">
        <v>888</v>
      </c>
      <c r="D128" s="1392"/>
      <c r="E128" s="1393"/>
      <c r="F128" s="925" t="s">
        <v>898</v>
      </c>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row>
    <row r="129" spans="1:29" ht="45" customHeight="1">
      <c r="A129" s="276"/>
      <c r="B129" s="602" t="s">
        <v>518</v>
      </c>
      <c r="C129" s="1391" t="s">
        <v>889</v>
      </c>
      <c r="D129" s="1392"/>
      <c r="E129" s="1393"/>
      <c r="F129" s="925" t="s">
        <v>897</v>
      </c>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row>
    <row r="130" spans="1:29" ht="93" customHeight="1">
      <c r="A130" s="276"/>
      <c r="B130" s="602" t="s">
        <v>148</v>
      </c>
      <c r="C130" s="1391" t="s">
        <v>890</v>
      </c>
      <c r="D130" s="1392"/>
      <c r="E130" s="1393"/>
      <c r="F130" s="925" t="s">
        <v>896</v>
      </c>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row>
    <row r="131" spans="1:29" ht="54" customHeight="1">
      <c r="A131" s="276"/>
      <c r="B131" s="602" t="s">
        <v>891</v>
      </c>
      <c r="C131" s="1391" t="s">
        <v>892</v>
      </c>
      <c r="D131" s="1392"/>
      <c r="E131" s="1393"/>
      <c r="F131" s="925" t="s">
        <v>893</v>
      </c>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row>
    <row r="132" spans="1:29" s="276" customFormat="1"/>
    <row r="133" spans="1:29" s="276" customFormat="1"/>
    <row r="134" spans="1:29" s="276" customFormat="1"/>
    <row r="135" spans="1:29" s="276" customFormat="1"/>
    <row r="136" spans="1:29" s="276" customFormat="1"/>
    <row r="137" spans="1:29" s="276" customFormat="1"/>
    <row r="138" spans="1:29" s="276" customFormat="1"/>
    <row r="139" spans="1:29" s="276" customFormat="1"/>
    <row r="140" spans="1:29" s="276" customFormat="1"/>
    <row r="141" spans="1:29" s="276" customFormat="1"/>
    <row r="142" spans="1:29" s="276" customFormat="1"/>
    <row r="143" spans="1:29" s="276" customFormat="1"/>
    <row r="144" spans="1:29" s="276" customFormat="1"/>
    <row r="145" s="276" customFormat="1"/>
    <row r="146" s="276" customFormat="1"/>
    <row r="147" s="276" customFormat="1"/>
    <row r="148" s="276" customFormat="1"/>
    <row r="149" s="276" customFormat="1"/>
    <row r="150" s="276" customFormat="1"/>
    <row r="151" s="276" customFormat="1"/>
    <row r="152" s="276" customFormat="1"/>
    <row r="153" s="276" customFormat="1"/>
    <row r="154" s="276" customFormat="1"/>
    <row r="155" s="276" customFormat="1"/>
    <row r="156" s="276" customFormat="1"/>
    <row r="157" s="276" customFormat="1"/>
    <row r="158" s="276" customFormat="1"/>
    <row r="159" s="276" customFormat="1"/>
    <row r="160" s="276" customFormat="1"/>
    <row r="161" s="276" customFormat="1"/>
    <row r="162" s="276" customFormat="1"/>
    <row r="163" s="276" customFormat="1"/>
    <row r="164" s="276" customFormat="1"/>
    <row r="165" s="276" customFormat="1"/>
    <row r="166" s="276" customFormat="1"/>
    <row r="167" s="276" customFormat="1"/>
    <row r="168" s="276" customFormat="1"/>
    <row r="169" s="276" customFormat="1"/>
    <row r="170" s="276" customFormat="1"/>
    <row r="171" s="276" customFormat="1"/>
    <row r="172" s="276" customFormat="1"/>
    <row r="173" s="276" customFormat="1"/>
    <row r="174" s="276" customFormat="1"/>
    <row r="175" s="276" customFormat="1"/>
    <row r="176" s="276" customFormat="1"/>
    <row r="177" s="276" customFormat="1"/>
    <row r="178" s="276" customFormat="1"/>
    <row r="179" s="276" customFormat="1"/>
    <row r="180" s="276" customFormat="1"/>
    <row r="181" s="276" customFormat="1"/>
    <row r="182" s="276" customFormat="1"/>
    <row r="183" s="276" customFormat="1"/>
    <row r="184" s="276" customFormat="1"/>
    <row r="185" s="276" customFormat="1"/>
    <row r="186" s="276" customFormat="1"/>
    <row r="187" s="276" customFormat="1"/>
    <row r="188" s="276" customFormat="1"/>
    <row r="189" s="276" customFormat="1"/>
    <row r="190" s="276" customFormat="1"/>
    <row r="191" s="276" customFormat="1"/>
    <row r="192" s="276" customFormat="1"/>
    <row r="193" s="276" customFormat="1"/>
    <row r="194" s="276" customFormat="1"/>
    <row r="195" s="276" customFormat="1"/>
    <row r="196" s="276" customFormat="1"/>
  </sheetData>
  <sheetProtection sheet="1" objects="1" scenarios="1"/>
  <mergeCells count="69">
    <mergeCell ref="B14:C14"/>
    <mergeCell ref="B104:F104"/>
    <mergeCell ref="B111:F111"/>
    <mergeCell ref="C116:E116"/>
    <mergeCell ref="E15:F15"/>
    <mergeCell ref="E16:F16"/>
    <mergeCell ref="E22:F22"/>
    <mergeCell ref="B17:C17"/>
    <mergeCell ref="B28:C28"/>
    <mergeCell ref="B20:D20"/>
    <mergeCell ref="B24:D24"/>
    <mergeCell ref="B23:D23"/>
    <mergeCell ref="B21:D21"/>
    <mergeCell ref="E25:F25"/>
    <mergeCell ref="E21:F21"/>
    <mergeCell ref="E24:F24"/>
    <mergeCell ref="B15:C15"/>
    <mergeCell ref="B16:C16"/>
    <mergeCell ref="B27:C27"/>
    <mergeCell ref="C123:E123"/>
    <mergeCell ref="C124:E124"/>
    <mergeCell ref="B35:D35"/>
    <mergeCell ref="B105:F105"/>
    <mergeCell ref="B45:F45"/>
    <mergeCell ref="B26:D26"/>
    <mergeCell ref="C119:E119"/>
    <mergeCell ref="C120:E120"/>
    <mergeCell ref="E27:F27"/>
    <mergeCell ref="E17:F17"/>
    <mergeCell ref="C117:E117"/>
    <mergeCell ref="B46:F46"/>
    <mergeCell ref="B44:F44"/>
    <mergeCell ref="C2:D2"/>
    <mergeCell ref="E12:F12"/>
    <mergeCell ref="E13:F13"/>
    <mergeCell ref="B12:C12"/>
    <mergeCell ref="B13:C13"/>
    <mergeCell ref="A9:F9"/>
    <mergeCell ref="A6:E6"/>
    <mergeCell ref="B110:F110"/>
    <mergeCell ref="B103:F103"/>
    <mergeCell ref="C131:E131"/>
    <mergeCell ref="C130:E130"/>
    <mergeCell ref="C129:E129"/>
    <mergeCell ref="C128:E128"/>
    <mergeCell ref="C127:E127"/>
    <mergeCell ref="C126:E126"/>
    <mergeCell ref="C125:E125"/>
    <mergeCell ref="C122:E122"/>
    <mergeCell ref="C121:E121"/>
    <mergeCell ref="C118:E118"/>
    <mergeCell ref="B109:F109"/>
    <mergeCell ref="E18:F18"/>
    <mergeCell ref="E19:F19"/>
    <mergeCell ref="E29:F29"/>
    <mergeCell ref="E28:F28"/>
    <mergeCell ref="B36:D36"/>
    <mergeCell ref="B31:D31"/>
    <mergeCell ref="B32:D32"/>
    <mergeCell ref="B33:D33"/>
    <mergeCell ref="B29:C29"/>
    <mergeCell ref="B98:E98"/>
    <mergeCell ref="B19:D19"/>
    <mergeCell ref="C90:F90"/>
    <mergeCell ref="A41:F41"/>
    <mergeCell ref="C69:F69"/>
    <mergeCell ref="C48:F48"/>
    <mergeCell ref="B37:D37"/>
    <mergeCell ref="B38:D38"/>
  </mergeCells>
  <dataValidations count="1">
    <dataValidation type="list" allowBlank="1" showInputMessage="1" showErrorMessage="1" sqref="C2:C3" xr:uid="{00000000-0002-0000-1400-000000000000}">
      <formula1>Tab_navigation</formula1>
    </dataValidation>
  </dataValidations>
  <pageMargins left="0.25" right="0.25" top="0.25" bottom="0.5" header="0.5" footer="0.25"/>
  <pageSetup scale="81" orientation="portrait" r:id="rId1"/>
  <headerFooter alignWithMargins="0">
    <oddFooter>&amp;L&amp;"Arial,Italic"&amp;9EPA Climate Leaders Simplified GHG Emissions Calculator (Direct 1.0)&amp;R&amp;"Arial,Italic"&amp;9&amp;P of &amp;N</oddFooter>
  </headerFooter>
  <rowBreaks count="3" manualBreakCount="3">
    <brk id="38" max="16383" man="1"/>
    <brk id="99" max="16383" man="1"/>
    <brk id="125"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4065" r:id="rId4" name="Button 33">
              <controlPr defaultSize="0" print="0" autoFill="0" autoPict="0" macro="[0]!goto_inputsheetsfromHelp">
                <anchor moveWithCells="1">
                  <from>
                    <xdr:col>4</xdr:col>
                    <xdr:colOff>114300</xdr:colOff>
                    <xdr:row>0</xdr:row>
                    <xdr:rowOff>276225</xdr:rowOff>
                  </from>
                  <to>
                    <xdr:col>5</xdr:col>
                    <xdr:colOff>114300</xdr:colOff>
                    <xdr:row>1</xdr:row>
                    <xdr:rowOff>219075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dimension ref="A1:AD191"/>
  <sheetViews>
    <sheetView zoomScale="80" zoomScaleNormal="80" workbookViewId="0"/>
  </sheetViews>
  <sheetFormatPr defaultColWidth="9.140625" defaultRowHeight="12.75"/>
  <cols>
    <col min="1" max="1" width="9.85546875" style="275" customWidth="1"/>
    <col min="2" max="2" width="33.85546875" style="275" customWidth="1"/>
    <col min="3" max="3" width="18.85546875" style="275" customWidth="1"/>
    <col min="4" max="6" width="14.85546875" style="275" customWidth="1"/>
    <col min="7" max="7" width="6.140625" style="275" customWidth="1"/>
    <col min="8" max="8" width="9.140625" style="275"/>
    <col min="9" max="9" width="11.140625" style="275" bestFit="1" customWidth="1"/>
    <col min="10" max="10" width="10.140625" style="275" bestFit="1" customWidth="1"/>
    <col min="11" max="16384" width="9.140625" style="275"/>
  </cols>
  <sheetData>
    <row r="1" spans="1:30" ht="24.95" customHeight="1">
      <c r="A1" s="276"/>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row>
    <row r="2" spans="1:30" ht="24.95" customHeight="1">
      <c r="A2" s="276"/>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row>
    <row r="3" spans="1:30" ht="15">
      <c r="A3" s="277" t="s">
        <v>815</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row>
    <row r="4" spans="1:30">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row>
    <row r="5" spans="1:30">
      <c r="A5" s="278" t="s">
        <v>420</v>
      </c>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row>
    <row r="6" spans="1:30" ht="38.25" customHeight="1">
      <c r="A6" s="1395" t="s">
        <v>421</v>
      </c>
      <c r="B6" s="1395"/>
      <c r="C6" s="1395"/>
      <c r="D6" s="1395"/>
      <c r="E6" s="1395"/>
      <c r="F6" s="1395"/>
      <c r="G6" s="276"/>
      <c r="H6" s="276"/>
      <c r="I6" s="276"/>
      <c r="J6" s="276"/>
      <c r="K6" s="276"/>
      <c r="L6" s="276"/>
      <c r="M6" s="276"/>
      <c r="N6" s="276"/>
      <c r="O6" s="276"/>
      <c r="P6" s="276"/>
      <c r="Q6" s="276"/>
      <c r="R6" s="276"/>
      <c r="S6" s="276"/>
      <c r="T6" s="276"/>
      <c r="U6" s="276"/>
      <c r="V6" s="276"/>
      <c r="W6" s="276"/>
      <c r="X6" s="276"/>
      <c r="Y6" s="276"/>
      <c r="Z6" s="276"/>
      <c r="AA6" s="276"/>
      <c r="AB6" s="276"/>
      <c r="AC6" s="276"/>
      <c r="AD6" s="276"/>
    </row>
    <row r="7" spans="1:30">
      <c r="A7" s="281"/>
      <c r="B7" s="281"/>
      <c r="C7" s="281"/>
      <c r="D7" s="281"/>
      <c r="E7" s="281"/>
      <c r="F7" s="281"/>
      <c r="G7" s="276"/>
      <c r="H7" s="276"/>
      <c r="I7" s="276"/>
      <c r="J7" s="276"/>
      <c r="K7" s="276"/>
      <c r="L7" s="276"/>
      <c r="M7" s="276"/>
      <c r="N7" s="276"/>
      <c r="O7" s="276"/>
      <c r="P7" s="276"/>
      <c r="Q7" s="276"/>
      <c r="R7" s="276"/>
      <c r="S7" s="276"/>
      <c r="T7" s="276"/>
      <c r="U7" s="276"/>
      <c r="V7" s="276"/>
      <c r="W7" s="276"/>
      <c r="X7" s="276"/>
      <c r="Y7" s="276"/>
      <c r="Z7" s="276"/>
      <c r="AA7" s="276"/>
      <c r="AB7" s="276"/>
      <c r="AC7" s="276"/>
      <c r="AD7" s="276"/>
    </row>
    <row r="8" spans="1:30">
      <c r="A8" s="282" t="s">
        <v>422</v>
      </c>
      <c r="B8" s="281"/>
      <c r="C8" s="281"/>
      <c r="D8" s="281"/>
      <c r="E8" s="281"/>
      <c r="F8" s="281"/>
      <c r="G8" s="276"/>
      <c r="H8" s="276"/>
      <c r="I8" s="276"/>
      <c r="J8" s="276"/>
      <c r="K8" s="276"/>
      <c r="L8" s="276"/>
      <c r="M8" s="276"/>
      <c r="N8" s="276"/>
      <c r="O8" s="276"/>
      <c r="P8" s="276"/>
      <c r="Q8" s="276"/>
      <c r="R8" s="276"/>
      <c r="S8" s="276"/>
      <c r="T8" s="276"/>
      <c r="U8" s="276"/>
      <c r="V8" s="276"/>
      <c r="W8" s="276"/>
      <c r="X8" s="276"/>
      <c r="Y8" s="276"/>
      <c r="Z8" s="276"/>
      <c r="AA8" s="276"/>
      <c r="AB8" s="276"/>
      <c r="AC8" s="276"/>
      <c r="AD8" s="276"/>
    </row>
    <row r="9" spans="1:30" ht="51.75" customHeight="1">
      <c r="A9" s="1395" t="s">
        <v>999</v>
      </c>
      <c r="B9" s="1395"/>
      <c r="C9" s="1395"/>
      <c r="D9" s="1395"/>
      <c r="E9" s="1395"/>
      <c r="F9" s="1395"/>
      <c r="G9" s="276"/>
      <c r="H9" s="276"/>
      <c r="I9" s="276"/>
      <c r="J9" s="276"/>
      <c r="K9" s="276"/>
      <c r="L9" s="276"/>
      <c r="M9" s="276"/>
      <c r="N9" s="276"/>
      <c r="O9" s="276"/>
      <c r="P9" s="276"/>
      <c r="Q9" s="276"/>
      <c r="R9" s="276"/>
      <c r="S9" s="276"/>
      <c r="T9" s="276"/>
      <c r="U9" s="276"/>
      <c r="V9" s="276"/>
      <c r="W9" s="276"/>
      <c r="X9" s="276"/>
      <c r="Y9" s="276"/>
      <c r="Z9" s="276"/>
      <c r="AA9" s="276"/>
      <c r="AB9" s="276"/>
      <c r="AC9" s="276"/>
      <c r="AD9" s="276"/>
    </row>
    <row r="10" spans="1:30" ht="17.25" customHeight="1">
      <c r="A10" s="285" t="s">
        <v>432</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row>
    <row r="11" spans="1:30">
      <c r="A11" s="284" t="s">
        <v>426</v>
      </c>
      <c r="B11" s="1388" t="s">
        <v>431</v>
      </c>
      <c r="C11" s="1388"/>
      <c r="D11" s="1388"/>
      <c r="E11" s="1388"/>
      <c r="F11" s="1388"/>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row>
    <row r="12" spans="1:30" ht="16.5" customHeight="1">
      <c r="A12" s="284" t="s">
        <v>426</v>
      </c>
      <c r="B12" s="1388" t="s">
        <v>430</v>
      </c>
      <c r="C12" s="1388"/>
      <c r="D12" s="1388"/>
      <c r="E12" s="1388"/>
      <c r="F12" s="1388"/>
      <c r="G12" s="276"/>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row>
    <row r="13" spans="1:30">
      <c r="A13" s="281"/>
      <c r="B13" s="281"/>
      <c r="C13" s="281"/>
      <c r="D13" s="281"/>
      <c r="E13" s="281"/>
      <c r="F13" s="281"/>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row>
    <row r="14" spans="1:30">
      <c r="A14" s="283" t="s">
        <v>423</v>
      </c>
      <c r="B14" s="281"/>
      <c r="C14" s="281"/>
      <c r="D14" s="281"/>
      <c r="E14" s="281"/>
      <c r="F14" s="281"/>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row>
    <row r="15" spans="1:30" ht="44.25" customHeight="1">
      <c r="A15" s="1398" t="s">
        <v>1177</v>
      </c>
      <c r="B15" s="1395"/>
      <c r="C15" s="1395"/>
      <c r="D15" s="1395"/>
      <c r="E15" s="1395"/>
      <c r="F15" s="1395"/>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row>
    <row r="16" spans="1:30">
      <c r="A16" s="281"/>
      <c r="B16" s="281"/>
      <c r="C16" s="281"/>
      <c r="D16" s="281"/>
      <c r="E16" s="281"/>
      <c r="F16" s="281"/>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row>
    <row r="17" spans="1:30">
      <c r="A17" s="281"/>
      <c r="B17" s="281"/>
      <c r="C17" s="281"/>
      <c r="D17" s="281"/>
      <c r="E17" s="281"/>
      <c r="F17" s="281"/>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row>
    <row r="18" spans="1:30">
      <c r="A18" s="283" t="s">
        <v>429</v>
      </c>
      <c r="B18" s="276"/>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row>
    <row r="19" spans="1:30" ht="16.5" customHeight="1">
      <c r="A19" s="284" t="s">
        <v>426</v>
      </c>
      <c r="B19" s="1388" t="s">
        <v>559</v>
      </c>
      <c r="C19" s="1388"/>
      <c r="D19" s="1388"/>
      <c r="E19" s="1388"/>
      <c r="F19" s="1388"/>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row>
    <row r="20" spans="1:30" ht="40.5" customHeight="1">
      <c r="A20" s="284" t="s">
        <v>426</v>
      </c>
      <c r="B20" s="1388" t="s">
        <v>1000</v>
      </c>
      <c r="C20" s="1388"/>
      <c r="D20" s="1388"/>
      <c r="E20" s="1388"/>
      <c r="F20" s="1388"/>
      <c r="G20" s="276"/>
      <c r="H20" s="276"/>
      <c r="I20" s="601"/>
      <c r="J20" s="276"/>
      <c r="K20" s="276"/>
      <c r="L20" s="276"/>
      <c r="M20" s="276"/>
      <c r="N20" s="276"/>
      <c r="O20" s="276"/>
      <c r="P20" s="276"/>
      <c r="Q20" s="276"/>
      <c r="R20" s="276"/>
      <c r="S20" s="276"/>
      <c r="T20" s="276"/>
      <c r="U20" s="276"/>
      <c r="V20" s="276"/>
      <c r="W20" s="276"/>
      <c r="X20" s="276"/>
      <c r="Y20" s="276"/>
      <c r="Z20" s="276"/>
      <c r="AA20" s="276"/>
      <c r="AB20" s="276"/>
      <c r="AC20" s="276"/>
      <c r="AD20" s="276"/>
    </row>
    <row r="21" spans="1:30" ht="27.75" customHeight="1">
      <c r="A21" s="284" t="s">
        <v>426</v>
      </c>
      <c r="B21" s="1388" t="s">
        <v>587</v>
      </c>
      <c r="C21" s="1388"/>
      <c r="D21" s="1388"/>
      <c r="E21" s="1388"/>
      <c r="F21" s="1388"/>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row>
    <row r="22" spans="1:30" ht="58.5" customHeight="1">
      <c r="A22" s="284" t="s">
        <v>426</v>
      </c>
      <c r="B22" s="1400" t="s">
        <v>1304</v>
      </c>
      <c r="C22" s="1388"/>
      <c r="D22" s="1388"/>
      <c r="E22" s="1388"/>
      <c r="F22" s="1388"/>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row>
    <row r="23" spans="1:30" ht="13.5" thickBot="1">
      <c r="A23" s="284"/>
      <c r="B23" s="287"/>
      <c r="C23" s="287"/>
      <c r="D23" s="287"/>
      <c r="E23" s="287"/>
      <c r="F23" s="287"/>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row>
    <row r="24" spans="1:30" ht="13.5" thickBot="1">
      <c r="A24" s="276"/>
      <c r="B24" s="280" t="s">
        <v>520</v>
      </c>
      <c r="C24" s="1401" t="s">
        <v>563</v>
      </c>
      <c r="D24" s="1402"/>
      <c r="E24" s="1402"/>
      <c r="F24" s="1403"/>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row>
    <row r="25" spans="1:30" ht="13.5" thickBot="1">
      <c r="A25" s="276"/>
      <c r="B25" s="431" t="s">
        <v>862</v>
      </c>
      <c r="C25" s="432" t="s">
        <v>526</v>
      </c>
      <c r="D25" s="433" t="s">
        <v>514</v>
      </c>
      <c r="E25" s="433" t="s">
        <v>515</v>
      </c>
      <c r="F25" s="434" t="s">
        <v>516</v>
      </c>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row>
    <row r="26" spans="1:30">
      <c r="A26" s="276"/>
      <c r="B26" s="303" t="s">
        <v>845</v>
      </c>
      <c r="C26" s="927">
        <v>41.5</v>
      </c>
      <c r="D26" s="927">
        <v>38.700000000000003</v>
      </c>
      <c r="E26" s="927">
        <v>21.2</v>
      </c>
      <c r="F26" s="928">
        <v>21.9</v>
      </c>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row>
    <row r="27" spans="1:30">
      <c r="A27" s="276"/>
      <c r="B27" s="354" t="s">
        <v>846</v>
      </c>
      <c r="C27" s="929" t="s">
        <v>1301</v>
      </c>
      <c r="D27" s="930">
        <v>75.400000000000006</v>
      </c>
      <c r="E27" s="929" t="s">
        <v>1301</v>
      </c>
      <c r="F27" s="931" t="s">
        <v>1301</v>
      </c>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30">
      <c r="A28" s="276"/>
      <c r="B28" s="354" t="s">
        <v>847</v>
      </c>
      <c r="C28" s="929" t="s">
        <v>1301</v>
      </c>
      <c r="D28" s="930">
        <v>212</v>
      </c>
      <c r="E28" s="930">
        <v>152.19999999999999</v>
      </c>
      <c r="F28" s="932">
        <v>106.4</v>
      </c>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row>
    <row r="29" spans="1:30">
      <c r="A29" s="276"/>
      <c r="B29" s="354" t="s">
        <v>848</v>
      </c>
      <c r="C29" s="930">
        <v>58.2</v>
      </c>
      <c r="D29" s="930">
        <v>59.4</v>
      </c>
      <c r="E29" s="930">
        <v>63.5</v>
      </c>
      <c r="F29" s="932">
        <v>54.2</v>
      </c>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row>
    <row r="30" spans="1:30">
      <c r="A30" s="276"/>
      <c r="B30" s="926" t="s">
        <v>849</v>
      </c>
      <c r="C30" s="930">
        <v>89.5</v>
      </c>
      <c r="D30" s="930">
        <v>71.099999999999994</v>
      </c>
      <c r="E30" s="930">
        <v>76</v>
      </c>
      <c r="F30" s="932">
        <v>84</v>
      </c>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row>
    <row r="31" spans="1:30">
      <c r="A31" s="276"/>
      <c r="B31" s="926" t="s">
        <v>850</v>
      </c>
      <c r="C31" s="930">
        <v>30.9</v>
      </c>
      <c r="D31" s="930">
        <v>34</v>
      </c>
      <c r="E31" s="930">
        <v>22.8</v>
      </c>
      <c r="F31" s="932">
        <v>22.4</v>
      </c>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row>
    <row r="32" spans="1:30">
      <c r="A32" s="276"/>
      <c r="B32" s="354" t="s">
        <v>851</v>
      </c>
      <c r="C32" s="930">
        <v>45.7</v>
      </c>
      <c r="D32" s="930">
        <v>44.1</v>
      </c>
      <c r="E32" s="930">
        <v>27.1</v>
      </c>
      <c r="F32" s="932">
        <v>38.6</v>
      </c>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row>
    <row r="33" spans="1:30">
      <c r="A33" s="276"/>
      <c r="B33" s="354" t="s">
        <v>852</v>
      </c>
      <c r="C33" s="930">
        <v>41.9</v>
      </c>
      <c r="D33" s="930">
        <v>41.4</v>
      </c>
      <c r="E33" s="930">
        <v>28.9</v>
      </c>
      <c r="F33" s="932">
        <v>37.1</v>
      </c>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row>
    <row r="34" spans="1:30">
      <c r="A34" s="276"/>
      <c r="B34" s="926" t="s">
        <v>853</v>
      </c>
      <c r="C34" s="930">
        <v>25</v>
      </c>
      <c r="D34" s="930">
        <v>26.4</v>
      </c>
      <c r="E34" s="930">
        <v>20</v>
      </c>
      <c r="F34" s="932">
        <v>22.5</v>
      </c>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row>
    <row r="35" spans="1:30">
      <c r="A35" s="276"/>
      <c r="B35" s="926" t="s">
        <v>854</v>
      </c>
      <c r="C35" s="930">
        <v>49.2</v>
      </c>
      <c r="D35" s="930">
        <v>58.9</v>
      </c>
      <c r="E35" s="930">
        <v>34.200000000000003</v>
      </c>
      <c r="F35" s="932">
        <v>43.9</v>
      </c>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row>
    <row r="36" spans="1:30">
      <c r="A36" s="276"/>
      <c r="B36" s="354" t="s">
        <v>248</v>
      </c>
      <c r="C36" s="930">
        <v>20.6</v>
      </c>
      <c r="D36" s="930">
        <v>26.3</v>
      </c>
      <c r="E36" s="930">
        <v>18.7</v>
      </c>
      <c r="F36" s="932">
        <v>18.600000000000001</v>
      </c>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row>
    <row r="37" spans="1:30">
      <c r="A37" s="276"/>
      <c r="B37" s="354" t="s">
        <v>855</v>
      </c>
      <c r="C37" s="930">
        <v>52.6</v>
      </c>
      <c r="D37" s="930">
        <v>48.5</v>
      </c>
      <c r="E37" s="930">
        <v>28.7</v>
      </c>
      <c r="F37" s="932">
        <v>33.5</v>
      </c>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row>
    <row r="38" spans="1:30">
      <c r="A38" s="276"/>
      <c r="B38" s="354" t="s">
        <v>856</v>
      </c>
      <c r="C38" s="929" t="s">
        <v>1301</v>
      </c>
      <c r="D38" s="929" t="s">
        <v>1301</v>
      </c>
      <c r="E38" s="930">
        <v>40.200000000000003</v>
      </c>
      <c r="F38" s="932">
        <v>34.799999999999997</v>
      </c>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row>
    <row r="39" spans="1:30">
      <c r="A39" s="276"/>
      <c r="B39" s="354" t="s">
        <v>857</v>
      </c>
      <c r="C39" s="930">
        <v>33.799999999999997</v>
      </c>
      <c r="D39" s="930">
        <v>28.6</v>
      </c>
      <c r="E39" s="930">
        <v>16.7</v>
      </c>
      <c r="F39" s="932">
        <v>17.399999999999999</v>
      </c>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row>
    <row r="40" spans="1:30">
      <c r="A40" s="276"/>
      <c r="B40" s="354" t="s">
        <v>858</v>
      </c>
      <c r="C40" s="930">
        <v>38.200000000000003</v>
      </c>
      <c r="D40" s="930">
        <v>38.299999999999997</v>
      </c>
      <c r="E40" s="930">
        <v>51.3</v>
      </c>
      <c r="F40" s="932">
        <v>39.1</v>
      </c>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row>
    <row r="41" spans="1:30">
      <c r="A41" s="276"/>
      <c r="B41" s="354" t="s">
        <v>859</v>
      </c>
      <c r="C41" s="930">
        <v>19.3</v>
      </c>
      <c r="D41" s="930">
        <v>27.7</v>
      </c>
      <c r="E41" s="930">
        <v>13.5</v>
      </c>
      <c r="F41" s="932">
        <v>10.4</v>
      </c>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row>
    <row r="42" spans="1:30">
      <c r="A42" s="276"/>
      <c r="B42" s="354" t="s">
        <v>860</v>
      </c>
      <c r="C42" s="930">
        <v>38.700000000000003</v>
      </c>
      <c r="D42" s="929" t="s">
        <v>1301</v>
      </c>
      <c r="E42" s="930">
        <v>21.2</v>
      </c>
      <c r="F42" s="931" t="s">
        <v>1301</v>
      </c>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row>
    <row r="43" spans="1:30" ht="13.5" thickBot="1">
      <c r="A43" s="276"/>
      <c r="B43" s="304" t="s">
        <v>861</v>
      </c>
      <c r="C43" s="933" t="s">
        <v>1301</v>
      </c>
      <c r="D43" s="933" t="s">
        <v>1301</v>
      </c>
      <c r="E43" s="933" t="s">
        <v>1301</v>
      </c>
      <c r="F43" s="935" t="s">
        <v>1301</v>
      </c>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row>
    <row r="44" spans="1:30" ht="29.25" customHeight="1">
      <c r="A44" s="276"/>
      <c r="B44" s="1399" t="s">
        <v>1303</v>
      </c>
      <c r="C44" s="1399"/>
      <c r="D44" s="1399"/>
      <c r="E44" s="1399"/>
      <c r="F44" s="1399"/>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row>
    <row r="45" spans="1:30">
      <c r="A45" s="276"/>
      <c r="B45" s="243" t="s">
        <v>1302</v>
      </c>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row>
    <row r="46" spans="1:30">
      <c r="A46" s="276"/>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row>
    <row r="47" spans="1:30">
      <c r="A47" s="276"/>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row>
    <row r="48" spans="1:30">
      <c r="A48" s="276"/>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row>
    <row r="49" spans="1:30">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row>
    <row r="50" spans="1:30">
      <c r="A50" s="276"/>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row>
    <row r="51" spans="1:30">
      <c r="A51" s="276"/>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row>
    <row r="52" spans="1:30">
      <c r="A52" s="276"/>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row>
    <row r="53" spans="1:30">
      <c r="A53" s="276"/>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row>
    <row r="54" spans="1:30">
      <c r="A54" s="276"/>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row>
    <row r="55" spans="1:30">
      <c r="A55" s="276"/>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row>
    <row r="56" spans="1:30">
      <c r="A56" s="276"/>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row>
    <row r="57" spans="1:30">
      <c r="A57" s="276"/>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row>
    <row r="58" spans="1:30">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row>
    <row r="59" spans="1:30">
      <c r="A59" s="276"/>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row>
    <row r="60" spans="1:30">
      <c r="A60" s="276"/>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row>
    <row r="61" spans="1:30">
      <c r="A61" s="276"/>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row>
    <row r="62" spans="1:30">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row>
    <row r="63" spans="1:30">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row>
    <row r="64" spans="1:30">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row>
    <row r="65" spans="1:30">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row>
    <row r="66" spans="1:30">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row>
    <row r="67" spans="1:30">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row>
    <row r="68" spans="1:30">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row>
    <row r="69" spans="1:30">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row>
    <row r="70" spans="1:30">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row>
    <row r="71" spans="1:30">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row>
    <row r="72" spans="1:30">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row>
    <row r="73" spans="1:30">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row>
    <row r="74" spans="1:30">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row>
    <row r="75" spans="1:30">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row>
    <row r="76" spans="1:30">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row>
    <row r="77" spans="1:30">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row>
    <row r="78" spans="1:30">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row>
    <row r="79" spans="1:30">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row>
    <row r="80" spans="1:30">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row>
    <row r="81" spans="1:30">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row>
    <row r="82" spans="1:30">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row>
    <row r="83" spans="1:30">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row>
    <row r="84" spans="1:30">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row>
    <row r="85" spans="1:30">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row>
    <row r="86" spans="1:30">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row>
    <row r="87" spans="1:30">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row>
    <row r="88" spans="1:30">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row>
    <row r="89" spans="1:30">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row>
    <row r="90" spans="1:30">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row>
    <row r="91" spans="1:30">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row>
    <row r="92" spans="1:30">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row>
    <row r="93" spans="1:30">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row>
    <row r="94" spans="1:30">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row>
    <row r="95" spans="1:30">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row>
    <row r="96" spans="1:30">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row>
    <row r="97" spans="1:30">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row>
    <row r="98" spans="1:30">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row>
    <row r="99" spans="1:30">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row>
    <row r="100" spans="1:30">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row>
    <row r="101" spans="1:30">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row>
    <row r="102" spans="1:30">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row>
    <row r="103" spans="1:30">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row>
    <row r="104" spans="1:30">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row>
    <row r="105" spans="1:30">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row>
    <row r="106" spans="1:30">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row>
    <row r="107" spans="1:30">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row>
    <row r="108" spans="1:30">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row>
    <row r="109" spans="1:30">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row>
    <row r="110" spans="1:30">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row>
    <row r="111" spans="1:30">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row>
    <row r="112" spans="1:30">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row>
    <row r="113" spans="1:30">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row>
    <row r="114" spans="1:30">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row>
    <row r="115" spans="1:30">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row>
    <row r="116" spans="1:30">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row>
    <row r="117" spans="1:30">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row>
    <row r="118" spans="1:30">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row>
    <row r="119" spans="1:30">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row>
    <row r="120" spans="1:30">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row>
    <row r="121" spans="1:30">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row>
    <row r="122" spans="1:30">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row>
    <row r="123" spans="1:30">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row>
    <row r="124" spans="1:30">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row>
    <row r="125" spans="1:30">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row>
    <row r="126" spans="1:30">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row>
    <row r="127" spans="1:30">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row>
    <row r="128" spans="1:30">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row>
    <row r="129" spans="1:30">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row>
    <row r="130" spans="1:30">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row>
    <row r="131" spans="1:30">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row>
    <row r="132" spans="1:30">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row>
    <row r="133" spans="1:30">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row>
    <row r="134" spans="1:30">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row>
    <row r="135" spans="1:30">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row>
    <row r="136" spans="1:30">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row>
    <row r="137" spans="1:30">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row>
    <row r="138" spans="1:30">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row>
    <row r="139" spans="1:30">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row>
    <row r="140" spans="1:30">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row>
    <row r="141" spans="1:30">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row>
    <row r="142" spans="1:30">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row>
    <row r="143" spans="1:30">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row>
    <row r="144" spans="1:30">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row>
    <row r="145" spans="1:30">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row>
    <row r="146" spans="1:30">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row>
    <row r="147" spans="1:30">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row>
    <row r="148" spans="1:30">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row>
    <row r="149" spans="1:30">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row>
    <row r="150" spans="1:30">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row>
    <row r="151" spans="1:30">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row>
    <row r="152" spans="1:30">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row>
    <row r="153" spans="1:30">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row>
    <row r="154" spans="1:30">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row>
    <row r="155" spans="1:30">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row>
    <row r="156" spans="1:30">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row>
    <row r="157" spans="1:30">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row>
    <row r="158" spans="1:30">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row>
    <row r="159" spans="1:30">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row>
    <row r="160" spans="1:30">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row>
    <row r="161" spans="1:30">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row>
    <row r="162" spans="1:30">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row>
    <row r="163" spans="1:30">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row>
    <row r="164" spans="1:30">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row>
    <row r="165" spans="1:30">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row>
    <row r="166" spans="1:30">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row>
    <row r="167" spans="1:30">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row>
    <row r="168" spans="1:30">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row>
    <row r="169" spans="1:30">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76"/>
    </row>
    <row r="170" spans="1:30">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76"/>
    </row>
    <row r="171" spans="1:30">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row>
    <row r="172" spans="1:30">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row>
    <row r="173" spans="1:30">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row>
    <row r="174" spans="1:30">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76"/>
    </row>
    <row r="175" spans="1:30">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row>
    <row r="176" spans="1:30">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row>
    <row r="177" spans="1:30">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row>
    <row r="178" spans="1:30">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row>
    <row r="179" spans="1:30">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row>
    <row r="180" spans="1:30">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row>
    <row r="181" spans="1:30">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row>
    <row r="182" spans="1:30">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row>
    <row r="183" spans="1:30">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76"/>
    </row>
    <row r="184" spans="1:30">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row>
    <row r="185" spans="1:30">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row>
    <row r="186" spans="1:30">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row>
    <row r="187" spans="1:30">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row>
    <row r="188" spans="1:30">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row>
    <row r="189" spans="1:30">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row>
    <row r="190" spans="1:30">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row>
    <row r="191" spans="1:30">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76"/>
    </row>
  </sheetData>
  <sheetProtection sheet="1" objects="1" scenarios="1"/>
  <mergeCells count="11">
    <mergeCell ref="B44:F44"/>
    <mergeCell ref="B12:F12"/>
    <mergeCell ref="B22:F22"/>
    <mergeCell ref="C24:F24"/>
    <mergeCell ref="B20:F20"/>
    <mergeCell ref="B21:F21"/>
    <mergeCell ref="A6:F6"/>
    <mergeCell ref="A9:F9"/>
    <mergeCell ref="A15:F15"/>
    <mergeCell ref="B19:F19"/>
    <mergeCell ref="B11:F11"/>
  </mergeCells>
  <hyperlinks>
    <hyperlink ref="B45" r:id="rId1" xr:uid="{09259208-C57D-45A7-B398-218E80BFF87E}"/>
  </hyperlinks>
  <pageMargins left="0.25" right="0.25" top="0.25" bottom="0.5" header="0.5" footer="0.25"/>
  <pageSetup scale="91" orientation="portrait" r:id="rId2"/>
  <headerFooter alignWithMargins="0">
    <oddFooter>&amp;L&amp;"Arial,Italic"&amp;9EPA Climate Leaders Simplified GHG Emissions Calculator (Direct 1.0)&amp;R&amp;"Arial,Italic"&amp;9&amp;P of &amp;N</oddFooter>
  </headerFooter>
  <rowBreaks count="1" manualBreakCount="1">
    <brk id="23" max="16383"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E206"/>
  <sheetViews>
    <sheetView zoomScale="80" zoomScaleNormal="80" workbookViewId="0">
      <selection activeCell="B2" sqref="B2"/>
    </sheetView>
  </sheetViews>
  <sheetFormatPr defaultColWidth="9.140625" defaultRowHeight="12.75"/>
  <cols>
    <col min="1" max="1" width="9.85546875" style="275" customWidth="1"/>
    <col min="2" max="2" width="33.85546875" style="275" customWidth="1"/>
    <col min="3" max="3" width="28.85546875" style="275" customWidth="1"/>
    <col min="4" max="5" width="15.85546875" style="275" customWidth="1"/>
    <col min="6" max="7" width="6.140625" style="275" customWidth="1"/>
    <col min="8" max="9" width="9.140625" style="275"/>
    <col min="10" max="10" width="31.140625" style="275" customWidth="1"/>
    <col min="11" max="16384" width="9.140625" style="275"/>
  </cols>
  <sheetData>
    <row r="1" spans="1:31" ht="24.95" customHeight="1">
      <c r="A1" s="276"/>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row>
    <row r="2" spans="1:31" ht="24.95" customHeight="1">
      <c r="A2" s="276"/>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row>
    <row r="3" spans="1:31" ht="15">
      <c r="A3" s="277" t="s">
        <v>816</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row>
    <row r="4" spans="1:31">
      <c r="A4" s="276"/>
      <c r="B4" s="276"/>
      <c r="C4" s="276"/>
      <c r="D4" s="276"/>
      <c r="E4" s="276"/>
      <c r="F4" s="276"/>
      <c r="G4" s="276"/>
      <c r="H4" s="276"/>
      <c r="I4" s="276"/>
      <c r="J4" s="162"/>
      <c r="K4" s="276"/>
      <c r="L4" s="276"/>
      <c r="M4" s="276"/>
      <c r="N4" s="276"/>
      <c r="O4" s="276"/>
      <c r="P4" s="276"/>
      <c r="Q4" s="276"/>
      <c r="R4" s="276"/>
      <c r="S4" s="276"/>
      <c r="T4" s="276"/>
      <c r="U4" s="276"/>
      <c r="V4" s="276"/>
      <c r="W4" s="276"/>
      <c r="X4" s="276"/>
      <c r="Y4" s="276"/>
      <c r="Z4" s="276"/>
      <c r="AA4" s="276"/>
      <c r="AB4" s="276"/>
      <c r="AC4" s="276"/>
      <c r="AD4" s="276"/>
      <c r="AE4" s="276"/>
    </row>
    <row r="5" spans="1:31">
      <c r="A5" s="278" t="s">
        <v>420</v>
      </c>
      <c r="B5" s="276"/>
      <c r="C5" s="276"/>
      <c r="D5" s="276"/>
      <c r="E5" s="276"/>
      <c r="F5" s="276"/>
      <c r="G5" s="276"/>
      <c r="H5" s="276"/>
      <c r="I5" s="276"/>
      <c r="J5" s="162"/>
      <c r="K5" s="276"/>
      <c r="L5" s="276"/>
      <c r="M5" s="276"/>
      <c r="N5" s="276"/>
      <c r="O5" s="276"/>
      <c r="P5" s="276"/>
      <c r="Q5" s="276"/>
      <c r="R5" s="276"/>
      <c r="S5" s="276"/>
      <c r="T5" s="276"/>
      <c r="U5" s="276"/>
      <c r="V5" s="276"/>
      <c r="W5" s="276"/>
      <c r="X5" s="276"/>
      <c r="Y5" s="276"/>
      <c r="Z5" s="276"/>
      <c r="AA5" s="276"/>
      <c r="AB5" s="276"/>
      <c r="AC5" s="276"/>
      <c r="AD5" s="276"/>
      <c r="AE5" s="276"/>
    </row>
    <row r="6" spans="1:31" ht="41.25" customHeight="1">
      <c r="A6" s="1404" t="s">
        <v>1290</v>
      </c>
      <c r="B6" s="1405"/>
      <c r="C6" s="1405"/>
      <c r="D6" s="1405"/>
      <c r="E6" s="1405"/>
      <c r="F6" s="276"/>
      <c r="G6" s="276"/>
      <c r="H6" s="276"/>
      <c r="I6" s="276"/>
      <c r="J6" s="162"/>
      <c r="K6" s="276"/>
      <c r="L6" s="276"/>
      <c r="M6" s="276"/>
      <c r="N6" s="276"/>
      <c r="O6" s="276"/>
      <c r="P6" s="276"/>
      <c r="Q6" s="276"/>
      <c r="R6" s="276"/>
      <c r="S6" s="276"/>
      <c r="T6" s="276"/>
      <c r="U6" s="276"/>
      <c r="V6" s="276"/>
      <c r="W6" s="276"/>
      <c r="X6" s="276"/>
      <c r="Y6" s="276"/>
      <c r="Z6" s="276"/>
      <c r="AA6" s="276"/>
      <c r="AB6" s="276"/>
      <c r="AC6" s="276"/>
      <c r="AD6" s="276"/>
      <c r="AE6" s="276"/>
    </row>
    <row r="7" spans="1:31">
      <c r="A7" s="281"/>
      <c r="B7" s="281"/>
      <c r="C7" s="281"/>
      <c r="D7" s="281"/>
      <c r="E7" s="281"/>
      <c r="F7" s="276"/>
      <c r="G7" s="276"/>
      <c r="H7" s="276"/>
      <c r="I7" s="276"/>
      <c r="J7" s="162"/>
      <c r="K7" s="276"/>
      <c r="L7" s="276"/>
      <c r="M7" s="276"/>
      <c r="N7" s="276"/>
      <c r="O7" s="276"/>
      <c r="P7" s="276"/>
      <c r="Q7" s="276"/>
      <c r="R7" s="276"/>
      <c r="S7" s="276"/>
      <c r="T7" s="276"/>
      <c r="U7" s="276"/>
      <c r="V7" s="276"/>
      <c r="W7" s="276"/>
      <c r="X7" s="276"/>
      <c r="Y7" s="276"/>
      <c r="Z7" s="276"/>
      <c r="AA7" s="276"/>
      <c r="AB7" s="276"/>
      <c r="AC7" s="276"/>
      <c r="AD7" s="276"/>
      <c r="AE7" s="276"/>
    </row>
    <row r="8" spans="1:31">
      <c r="A8" s="282" t="s">
        <v>422</v>
      </c>
      <c r="B8" s="281"/>
      <c r="C8" s="281"/>
      <c r="D8" s="281"/>
      <c r="E8" s="281"/>
      <c r="F8" s="276"/>
      <c r="G8" s="276"/>
      <c r="H8" s="276"/>
      <c r="I8" s="276"/>
      <c r="J8" s="162"/>
      <c r="K8" s="276"/>
      <c r="L8" s="276"/>
      <c r="M8" s="276"/>
      <c r="N8" s="276"/>
      <c r="O8" s="276"/>
      <c r="P8" s="276"/>
      <c r="Q8" s="276"/>
      <c r="R8" s="276"/>
      <c r="S8" s="276"/>
      <c r="T8" s="276"/>
      <c r="U8" s="276"/>
      <c r="V8" s="276"/>
      <c r="W8" s="276"/>
      <c r="X8" s="276"/>
      <c r="Y8" s="276"/>
      <c r="Z8" s="276"/>
      <c r="AA8" s="276"/>
      <c r="AB8" s="276"/>
      <c r="AC8" s="276"/>
      <c r="AD8" s="276"/>
      <c r="AE8" s="276"/>
    </row>
    <row r="9" spans="1:31" ht="51.75" customHeight="1">
      <c r="A9" s="1395" t="s">
        <v>428</v>
      </c>
      <c r="B9" s="1395"/>
      <c r="C9" s="1395"/>
      <c r="D9" s="1395"/>
      <c r="E9" s="1395"/>
      <c r="F9" s="276"/>
      <c r="G9" s="276"/>
      <c r="H9" s="276"/>
      <c r="I9" s="276"/>
      <c r="J9" s="162"/>
      <c r="K9" s="276"/>
      <c r="L9" s="276"/>
      <c r="M9" s="276"/>
      <c r="N9" s="276"/>
      <c r="O9" s="276"/>
      <c r="P9" s="276"/>
      <c r="Q9" s="276"/>
      <c r="R9" s="276"/>
      <c r="S9" s="276"/>
      <c r="T9" s="276"/>
      <c r="U9" s="276"/>
      <c r="V9" s="276"/>
      <c r="W9" s="276"/>
      <c r="X9" s="276"/>
      <c r="Y9" s="276"/>
      <c r="Z9" s="276"/>
      <c r="AA9" s="276"/>
      <c r="AB9" s="276"/>
      <c r="AC9" s="276"/>
      <c r="AD9" s="276"/>
      <c r="AE9" s="276"/>
    </row>
    <row r="10" spans="1:31" ht="15" customHeight="1">
      <c r="A10" s="320" t="s">
        <v>713</v>
      </c>
      <c r="B10" s="314"/>
      <c r="C10" s="314"/>
      <c r="D10" s="314"/>
      <c r="E10" s="314"/>
      <c r="F10" s="276"/>
      <c r="G10" s="276"/>
      <c r="H10" s="276"/>
      <c r="I10" s="276"/>
      <c r="J10" s="162"/>
      <c r="K10" s="276"/>
      <c r="L10" s="276"/>
      <c r="M10" s="276"/>
      <c r="N10" s="276"/>
      <c r="O10" s="276"/>
      <c r="P10" s="276"/>
      <c r="Q10" s="276"/>
      <c r="R10" s="276"/>
      <c r="S10" s="276"/>
      <c r="T10" s="276"/>
      <c r="U10" s="276"/>
      <c r="V10" s="276"/>
      <c r="W10" s="276"/>
      <c r="X10" s="276"/>
      <c r="Y10" s="276"/>
      <c r="Z10" s="276"/>
      <c r="AA10" s="276"/>
      <c r="AB10" s="276"/>
      <c r="AC10" s="276"/>
      <c r="AD10" s="276"/>
      <c r="AE10" s="276"/>
    </row>
    <row r="11" spans="1:31" ht="6" customHeight="1">
      <c r="A11" s="320"/>
      <c r="B11" s="314"/>
      <c r="C11" s="314"/>
      <c r="D11" s="314"/>
      <c r="E11" s="314"/>
      <c r="F11" s="276"/>
      <c r="G11" s="276"/>
      <c r="H11" s="276"/>
      <c r="I11" s="276"/>
      <c r="J11" s="162"/>
      <c r="K11" s="276"/>
      <c r="L11" s="276"/>
      <c r="M11" s="276"/>
      <c r="N11" s="276"/>
      <c r="O11" s="276"/>
      <c r="P11" s="276"/>
      <c r="Q11" s="276"/>
      <c r="R11" s="276"/>
      <c r="S11" s="276"/>
      <c r="T11" s="276"/>
      <c r="U11" s="276"/>
      <c r="V11" s="276"/>
      <c r="W11" s="276"/>
      <c r="X11" s="276"/>
      <c r="Y11" s="276"/>
      <c r="Z11" s="276"/>
      <c r="AA11" s="276"/>
      <c r="AB11" s="276"/>
      <c r="AC11" s="276"/>
      <c r="AD11" s="276"/>
      <c r="AE11" s="276"/>
    </row>
    <row r="12" spans="1:31" ht="17.25" customHeight="1">
      <c r="A12" s="285" t="s">
        <v>433</v>
      </c>
      <c r="B12" s="276"/>
      <c r="C12" s="276"/>
      <c r="D12" s="276"/>
      <c r="E12" s="276"/>
      <c r="F12" s="276"/>
      <c r="G12" s="276"/>
      <c r="H12" s="276"/>
      <c r="I12" s="276"/>
      <c r="J12" s="162"/>
      <c r="K12" s="276"/>
      <c r="L12" s="276"/>
      <c r="M12" s="276"/>
      <c r="N12" s="276"/>
      <c r="O12" s="276"/>
      <c r="P12" s="276"/>
      <c r="Q12" s="276"/>
      <c r="R12" s="276"/>
      <c r="S12" s="276"/>
      <c r="T12" s="276"/>
      <c r="U12" s="276"/>
      <c r="V12" s="276"/>
      <c r="W12" s="276"/>
      <c r="X12" s="276"/>
      <c r="Y12" s="276"/>
      <c r="Z12" s="276"/>
      <c r="AA12" s="276"/>
      <c r="AB12" s="276"/>
      <c r="AC12" s="276"/>
      <c r="AD12" s="276"/>
      <c r="AE12" s="276"/>
    </row>
    <row r="13" spans="1:31">
      <c r="A13" s="284" t="s">
        <v>426</v>
      </c>
      <c r="B13" s="1388" t="s">
        <v>434</v>
      </c>
      <c r="C13" s="1388"/>
      <c r="D13" s="1388"/>
      <c r="E13" s="1388"/>
      <c r="F13" s="276"/>
      <c r="G13" s="276"/>
      <c r="H13" s="276"/>
      <c r="I13" s="276"/>
      <c r="J13" s="162"/>
      <c r="K13" s="276"/>
      <c r="L13" s="276"/>
      <c r="M13" s="276"/>
      <c r="N13" s="276"/>
      <c r="O13" s="276"/>
      <c r="P13" s="276"/>
      <c r="Q13" s="276"/>
      <c r="R13" s="276"/>
      <c r="S13" s="276"/>
      <c r="T13" s="276"/>
      <c r="U13" s="276"/>
      <c r="V13" s="276"/>
      <c r="W13" s="276"/>
      <c r="X13" s="276"/>
      <c r="Y13" s="276"/>
      <c r="Z13" s="276"/>
      <c r="AA13" s="276"/>
      <c r="AB13" s="276"/>
      <c r="AC13" s="276"/>
      <c r="AD13" s="276"/>
      <c r="AE13" s="276"/>
    </row>
    <row r="14" spans="1:31">
      <c r="A14" s="284" t="s">
        <v>426</v>
      </c>
      <c r="B14" s="1388" t="s">
        <v>476</v>
      </c>
      <c r="C14" s="1388"/>
      <c r="D14" s="1388"/>
      <c r="E14" s="1388"/>
      <c r="F14" s="276"/>
      <c r="G14" s="276"/>
      <c r="H14" s="276"/>
      <c r="I14" s="276"/>
      <c r="J14" s="162"/>
      <c r="K14" s="276"/>
      <c r="L14" s="276"/>
      <c r="M14" s="276"/>
      <c r="N14" s="276"/>
      <c r="O14" s="276"/>
      <c r="P14" s="276"/>
      <c r="Q14" s="276"/>
      <c r="R14" s="276"/>
      <c r="S14" s="276"/>
      <c r="T14" s="276"/>
      <c r="U14" s="276"/>
      <c r="V14" s="276"/>
      <c r="W14" s="276"/>
      <c r="X14" s="276"/>
      <c r="Y14" s="276"/>
      <c r="Z14" s="276"/>
      <c r="AA14" s="276"/>
      <c r="AB14" s="276"/>
      <c r="AC14" s="276"/>
      <c r="AD14" s="276"/>
      <c r="AE14" s="276"/>
    </row>
    <row r="15" spans="1:31">
      <c r="A15" s="284" t="s">
        <v>426</v>
      </c>
      <c r="B15" s="1388" t="s">
        <v>477</v>
      </c>
      <c r="C15" s="1388"/>
      <c r="D15" s="1388"/>
      <c r="E15" s="1388"/>
      <c r="F15" s="276"/>
      <c r="G15" s="276"/>
      <c r="H15" s="276"/>
      <c r="I15" s="276"/>
      <c r="J15" s="162"/>
      <c r="K15" s="276"/>
      <c r="L15" s="276"/>
      <c r="M15" s="276"/>
      <c r="N15" s="276"/>
      <c r="O15" s="276"/>
      <c r="P15" s="276"/>
      <c r="Q15" s="276"/>
      <c r="R15" s="276"/>
      <c r="S15" s="276"/>
      <c r="T15" s="276"/>
      <c r="U15" s="276"/>
      <c r="V15" s="276"/>
      <c r="W15" s="276"/>
      <c r="X15" s="276"/>
      <c r="Y15" s="276"/>
      <c r="Z15" s="276"/>
      <c r="AA15" s="276"/>
      <c r="AB15" s="276"/>
      <c r="AC15" s="276"/>
      <c r="AD15" s="276"/>
      <c r="AE15" s="276"/>
    </row>
    <row r="16" spans="1:31">
      <c r="A16" s="281"/>
      <c r="B16" s="281"/>
      <c r="C16" s="281"/>
      <c r="D16" s="281"/>
      <c r="E16" s="281"/>
      <c r="F16" s="276"/>
      <c r="G16" s="276"/>
      <c r="H16" s="276"/>
      <c r="I16" s="276"/>
      <c r="J16" s="162"/>
      <c r="K16" s="276"/>
      <c r="L16" s="276"/>
      <c r="M16" s="276"/>
      <c r="N16" s="276"/>
      <c r="O16" s="276"/>
      <c r="P16" s="276"/>
      <c r="Q16" s="276"/>
      <c r="R16" s="276"/>
      <c r="S16" s="276"/>
      <c r="T16" s="276"/>
      <c r="U16" s="276"/>
      <c r="V16" s="276"/>
      <c r="W16" s="276"/>
      <c r="X16" s="276"/>
      <c r="Y16" s="276"/>
      <c r="Z16" s="276"/>
      <c r="AA16" s="276"/>
      <c r="AB16" s="276"/>
      <c r="AC16" s="276"/>
      <c r="AD16" s="276"/>
      <c r="AE16" s="276"/>
    </row>
    <row r="17" spans="1:31">
      <c r="A17" s="283" t="s">
        <v>423</v>
      </c>
      <c r="B17" s="281"/>
      <c r="C17" s="281"/>
      <c r="D17" s="281"/>
      <c r="E17" s="281"/>
      <c r="F17" s="276"/>
      <c r="G17" s="276"/>
      <c r="H17" s="276"/>
      <c r="I17" s="276"/>
      <c r="J17" s="162"/>
      <c r="K17" s="276"/>
      <c r="L17" s="276"/>
      <c r="M17" s="276"/>
      <c r="N17" s="276"/>
      <c r="O17" s="276"/>
      <c r="P17" s="276"/>
      <c r="Q17" s="276"/>
      <c r="R17" s="276"/>
      <c r="S17" s="276"/>
      <c r="T17" s="276"/>
      <c r="U17" s="276"/>
      <c r="V17" s="276"/>
      <c r="W17" s="276"/>
      <c r="X17" s="276"/>
      <c r="Y17" s="276"/>
      <c r="Z17" s="276"/>
      <c r="AA17" s="276"/>
      <c r="AB17" s="276"/>
      <c r="AC17" s="276"/>
      <c r="AD17" s="276"/>
      <c r="AE17" s="276"/>
    </row>
    <row r="18" spans="1:31" ht="84" customHeight="1">
      <c r="A18" s="1398" t="s">
        <v>1178</v>
      </c>
      <c r="B18" s="1395"/>
      <c r="C18" s="1395"/>
      <c r="D18" s="1395"/>
      <c r="E18" s="1395"/>
      <c r="F18" s="276"/>
      <c r="G18" s="276"/>
      <c r="H18" s="276"/>
      <c r="I18" s="276"/>
      <c r="J18" s="162"/>
      <c r="K18" s="276"/>
      <c r="L18" s="276"/>
      <c r="M18" s="276"/>
      <c r="N18" s="276"/>
      <c r="O18" s="276"/>
      <c r="P18" s="276"/>
      <c r="Q18" s="276"/>
      <c r="R18" s="276"/>
      <c r="S18" s="276"/>
      <c r="T18" s="276"/>
      <c r="U18" s="276"/>
      <c r="V18" s="276"/>
      <c r="W18" s="276"/>
      <c r="X18" s="276"/>
      <c r="Y18" s="276"/>
      <c r="Z18" s="276"/>
      <c r="AA18" s="276"/>
      <c r="AB18" s="276"/>
      <c r="AC18" s="276"/>
      <c r="AD18" s="276"/>
      <c r="AE18" s="276"/>
    </row>
    <row r="19" spans="1:31">
      <c r="A19" s="314"/>
      <c r="B19" s="321" t="s">
        <v>537</v>
      </c>
      <c r="C19" s="314"/>
      <c r="D19" s="314"/>
      <c r="E19" s="314"/>
      <c r="F19" s="276"/>
      <c r="G19" s="276"/>
      <c r="H19" s="276"/>
      <c r="I19" s="276"/>
      <c r="J19" s="162"/>
      <c r="K19" s="276"/>
      <c r="L19" s="276"/>
      <c r="M19" s="276"/>
      <c r="N19" s="276"/>
      <c r="O19" s="276"/>
      <c r="P19" s="276"/>
      <c r="Q19" s="276"/>
      <c r="R19" s="276"/>
      <c r="S19" s="276"/>
      <c r="T19" s="276"/>
      <c r="U19" s="276"/>
      <c r="V19" s="276"/>
      <c r="W19" s="276"/>
      <c r="X19" s="276"/>
      <c r="Y19" s="276"/>
      <c r="Z19" s="276"/>
      <c r="AA19" s="276"/>
      <c r="AB19" s="276"/>
      <c r="AC19" s="276"/>
      <c r="AD19" s="276"/>
      <c r="AE19" s="276"/>
    </row>
    <row r="20" spans="1:31">
      <c r="A20" s="314"/>
      <c r="B20" s="322" t="s">
        <v>588</v>
      </c>
      <c r="C20" s="314"/>
      <c r="D20" s="314"/>
      <c r="E20" s="314"/>
      <c r="F20" s="276"/>
      <c r="G20" s="276"/>
      <c r="H20" s="276"/>
      <c r="I20" s="276"/>
      <c r="J20" s="162"/>
      <c r="K20" s="276"/>
      <c r="L20" s="276"/>
      <c r="M20" s="276"/>
      <c r="N20" s="276"/>
      <c r="O20" s="276"/>
      <c r="P20" s="276"/>
      <c r="Q20" s="276"/>
      <c r="R20" s="276"/>
      <c r="S20" s="276"/>
      <c r="T20" s="276"/>
      <c r="U20" s="276"/>
      <c r="V20" s="276"/>
      <c r="W20" s="276"/>
      <c r="X20" s="276"/>
      <c r="Y20" s="276"/>
      <c r="Z20" s="276"/>
      <c r="AA20" s="276"/>
      <c r="AB20" s="276"/>
      <c r="AC20" s="276"/>
      <c r="AD20" s="276"/>
      <c r="AE20" s="276"/>
    </row>
    <row r="21" spans="1:31">
      <c r="A21" s="314"/>
      <c r="B21" s="322" t="s">
        <v>582</v>
      </c>
      <c r="C21" s="314"/>
      <c r="D21" s="314"/>
      <c r="E21" s="314"/>
      <c r="F21" s="276"/>
      <c r="G21" s="276"/>
      <c r="H21" s="276"/>
      <c r="I21" s="276"/>
      <c r="J21" s="162"/>
      <c r="K21" s="276"/>
      <c r="L21" s="276"/>
      <c r="M21" s="276"/>
      <c r="N21" s="276"/>
      <c r="O21" s="276"/>
      <c r="P21" s="276"/>
      <c r="Q21" s="276"/>
      <c r="R21" s="276"/>
      <c r="S21" s="276"/>
      <c r="T21" s="276"/>
      <c r="U21" s="276"/>
      <c r="V21" s="276"/>
      <c r="W21" s="276"/>
      <c r="X21" s="276"/>
      <c r="Y21" s="276"/>
      <c r="Z21" s="276"/>
      <c r="AA21" s="276"/>
      <c r="AB21" s="276"/>
      <c r="AC21" s="276"/>
      <c r="AD21" s="276"/>
      <c r="AE21" s="276"/>
    </row>
    <row r="22" spans="1:31">
      <c r="A22" s="314"/>
      <c r="B22" s="717" t="s">
        <v>1176</v>
      </c>
      <c r="C22" s="314"/>
      <c r="D22" s="314"/>
      <c r="E22" s="314"/>
      <c r="F22" s="276"/>
      <c r="G22" s="276"/>
      <c r="H22" s="276"/>
      <c r="I22" s="276"/>
      <c r="J22" s="162"/>
      <c r="K22" s="276"/>
      <c r="L22" s="276"/>
      <c r="M22" s="276"/>
      <c r="N22" s="276"/>
      <c r="O22" s="276"/>
      <c r="P22" s="276"/>
      <c r="Q22" s="276"/>
      <c r="R22" s="276"/>
      <c r="S22" s="276"/>
      <c r="T22" s="276"/>
      <c r="U22" s="276"/>
      <c r="V22" s="276"/>
      <c r="W22" s="276"/>
      <c r="X22" s="276"/>
      <c r="Y22" s="276"/>
      <c r="Z22" s="276"/>
      <c r="AA22" s="276"/>
      <c r="AB22" s="276"/>
      <c r="AC22" s="276"/>
      <c r="AD22" s="276"/>
      <c r="AE22" s="276"/>
    </row>
    <row r="23" spans="1:31">
      <c r="A23" s="281"/>
      <c r="B23" s="281"/>
      <c r="C23" s="281"/>
      <c r="D23" s="281"/>
      <c r="E23" s="281"/>
      <c r="F23" s="276"/>
      <c r="G23" s="276"/>
      <c r="H23" s="276"/>
      <c r="I23" s="276"/>
      <c r="J23" s="162"/>
      <c r="K23" s="276"/>
      <c r="L23" s="276"/>
      <c r="M23" s="276"/>
      <c r="N23" s="276"/>
      <c r="O23" s="276"/>
      <c r="P23" s="276"/>
      <c r="Q23" s="276"/>
      <c r="R23" s="276"/>
      <c r="S23" s="276"/>
      <c r="T23" s="276"/>
      <c r="U23" s="276"/>
      <c r="V23" s="276"/>
      <c r="W23" s="276"/>
      <c r="X23" s="276"/>
      <c r="Y23" s="276"/>
      <c r="Z23" s="276"/>
      <c r="AA23" s="276"/>
      <c r="AB23" s="276"/>
      <c r="AC23" s="276"/>
      <c r="AD23" s="276"/>
      <c r="AE23" s="276"/>
    </row>
    <row r="24" spans="1:31">
      <c r="A24" s="283" t="s">
        <v>429</v>
      </c>
      <c r="B24" s="276"/>
      <c r="C24" s="276"/>
      <c r="D24" s="276"/>
      <c r="E24" s="276"/>
      <c r="F24" s="276"/>
      <c r="G24" s="276"/>
      <c r="H24" s="276"/>
      <c r="I24" s="276"/>
      <c r="J24" s="162"/>
      <c r="K24" s="276"/>
      <c r="L24" s="276"/>
      <c r="M24" s="276"/>
      <c r="N24" s="276"/>
      <c r="O24" s="276"/>
      <c r="P24" s="276"/>
      <c r="Q24" s="276"/>
      <c r="R24" s="276"/>
      <c r="S24" s="276"/>
      <c r="T24" s="276"/>
      <c r="U24" s="276"/>
      <c r="V24" s="276"/>
      <c r="W24" s="276"/>
      <c r="X24" s="276"/>
      <c r="Y24" s="276"/>
      <c r="Z24" s="276"/>
      <c r="AA24" s="276"/>
      <c r="AB24" s="276"/>
      <c r="AC24" s="276"/>
      <c r="AD24" s="276"/>
      <c r="AE24" s="276"/>
    </row>
    <row r="25" spans="1:31">
      <c r="A25" s="284" t="s">
        <v>426</v>
      </c>
      <c r="B25" s="1388" t="s">
        <v>537</v>
      </c>
      <c r="C25" s="1388"/>
      <c r="D25" s="1388"/>
      <c r="E25" s="1388"/>
      <c r="F25" s="276"/>
      <c r="G25" s="276"/>
      <c r="H25" s="276"/>
      <c r="I25" s="276"/>
      <c r="J25" s="162"/>
      <c r="K25" s="276"/>
      <c r="L25" s="276"/>
      <c r="M25" s="276"/>
      <c r="N25" s="276"/>
      <c r="O25" s="276"/>
      <c r="P25" s="276"/>
      <c r="Q25" s="276"/>
      <c r="R25" s="276"/>
      <c r="S25" s="276"/>
      <c r="T25" s="276"/>
      <c r="U25" s="276"/>
      <c r="V25" s="276"/>
      <c r="W25" s="276"/>
      <c r="X25" s="276"/>
      <c r="Y25" s="276"/>
      <c r="Z25" s="276"/>
      <c r="AA25" s="276"/>
      <c r="AB25" s="276"/>
      <c r="AC25" s="276"/>
      <c r="AD25" s="276"/>
      <c r="AE25" s="276"/>
    </row>
    <row r="26" spans="1:31">
      <c r="A26" s="314"/>
      <c r="B26" s="322" t="s">
        <v>589</v>
      </c>
      <c r="C26" s="314"/>
      <c r="D26" s="314"/>
      <c r="E26" s="314"/>
      <c r="F26" s="276"/>
      <c r="G26" s="276"/>
      <c r="H26" s="276"/>
      <c r="I26" s="276"/>
      <c r="J26" s="162"/>
      <c r="K26" s="276"/>
      <c r="L26" s="276"/>
      <c r="M26" s="276"/>
      <c r="N26" s="276"/>
      <c r="O26" s="276"/>
      <c r="P26" s="276"/>
      <c r="Q26" s="276"/>
      <c r="R26" s="276"/>
      <c r="S26" s="276"/>
      <c r="T26" s="276"/>
      <c r="U26" s="276"/>
      <c r="V26" s="276"/>
      <c r="W26" s="276"/>
      <c r="X26" s="276"/>
      <c r="Y26" s="276"/>
      <c r="Z26" s="276"/>
      <c r="AA26" s="276"/>
      <c r="AB26" s="276"/>
      <c r="AC26" s="276"/>
      <c r="AD26" s="276"/>
      <c r="AE26" s="276"/>
    </row>
    <row r="27" spans="1:31">
      <c r="A27" s="314"/>
      <c r="B27" s="322" t="s">
        <v>590</v>
      </c>
      <c r="C27" s="314"/>
      <c r="D27" s="314"/>
      <c r="E27" s="314"/>
      <c r="F27" s="276"/>
      <c r="G27" s="276"/>
      <c r="H27" s="276"/>
      <c r="I27" s="276"/>
      <c r="J27" s="162"/>
      <c r="K27" s="276"/>
      <c r="L27" s="276"/>
      <c r="M27" s="276"/>
      <c r="N27" s="276"/>
      <c r="O27" s="276"/>
      <c r="P27" s="276"/>
      <c r="Q27" s="276"/>
      <c r="R27" s="276"/>
      <c r="S27" s="276"/>
      <c r="T27" s="276"/>
      <c r="U27" s="276"/>
      <c r="V27" s="276"/>
      <c r="W27" s="276"/>
      <c r="X27" s="276"/>
      <c r="Y27" s="276"/>
      <c r="Z27" s="276"/>
      <c r="AA27" s="276"/>
      <c r="AB27" s="276"/>
      <c r="AC27" s="276"/>
      <c r="AD27" s="276"/>
      <c r="AE27" s="276"/>
    </row>
    <row r="28" spans="1:31">
      <c r="A28" s="314"/>
      <c r="B28" s="322" t="s">
        <v>583</v>
      </c>
      <c r="C28" s="314"/>
      <c r="D28" s="314"/>
      <c r="E28" s="314"/>
      <c r="F28" s="276"/>
      <c r="G28" s="276"/>
      <c r="H28" s="276"/>
      <c r="I28" s="276"/>
      <c r="J28" s="162"/>
      <c r="K28" s="276"/>
      <c r="L28" s="276"/>
      <c r="M28" s="276"/>
      <c r="N28" s="276"/>
      <c r="O28" s="276"/>
      <c r="P28" s="276"/>
      <c r="Q28" s="276"/>
      <c r="R28" s="276"/>
      <c r="S28" s="276"/>
      <c r="T28" s="276"/>
      <c r="U28" s="276"/>
      <c r="V28" s="276"/>
      <c r="W28" s="276"/>
      <c r="X28" s="276"/>
      <c r="Y28" s="276"/>
      <c r="Z28" s="276"/>
      <c r="AA28" s="276"/>
      <c r="AB28" s="276"/>
      <c r="AC28" s="276"/>
      <c r="AD28" s="276"/>
      <c r="AE28" s="276"/>
    </row>
    <row r="29" spans="1:31" ht="30" customHeight="1">
      <c r="A29" s="284" t="s">
        <v>426</v>
      </c>
      <c r="B29" s="1388" t="s">
        <v>591</v>
      </c>
      <c r="C29" s="1388"/>
      <c r="D29" s="1388"/>
      <c r="E29" s="1388"/>
      <c r="F29" s="276"/>
      <c r="G29" s="276"/>
      <c r="H29" s="276"/>
      <c r="I29" s="276"/>
      <c r="J29" s="162"/>
      <c r="K29" s="276"/>
      <c r="L29" s="276"/>
      <c r="M29" s="276"/>
      <c r="N29" s="276"/>
      <c r="O29" s="276"/>
      <c r="P29" s="276"/>
      <c r="Q29" s="276"/>
      <c r="R29" s="276"/>
      <c r="S29" s="276"/>
      <c r="T29" s="276"/>
      <c r="U29" s="276"/>
      <c r="V29" s="276"/>
      <c r="W29" s="276"/>
      <c r="X29" s="276"/>
      <c r="Y29" s="276"/>
      <c r="Z29" s="276"/>
      <c r="AA29" s="276"/>
      <c r="AB29" s="276"/>
      <c r="AC29" s="276"/>
      <c r="AD29" s="276"/>
      <c r="AE29" s="276"/>
    </row>
    <row r="30" spans="1:31" ht="33" customHeight="1">
      <c r="A30" s="284" t="s">
        <v>426</v>
      </c>
      <c r="B30" s="1388" t="s">
        <v>1001</v>
      </c>
      <c r="C30" s="1388"/>
      <c r="D30" s="1388"/>
      <c r="E30" s="1388"/>
      <c r="F30" s="276"/>
      <c r="G30" s="276"/>
      <c r="H30" s="276"/>
      <c r="I30" s="276"/>
      <c r="J30" s="162"/>
      <c r="K30" s="276"/>
      <c r="L30" s="276"/>
      <c r="M30" s="276"/>
      <c r="N30" s="276"/>
      <c r="O30" s="276"/>
      <c r="P30" s="276"/>
      <c r="Q30" s="276"/>
      <c r="R30" s="276"/>
      <c r="S30" s="276"/>
      <c r="T30" s="276"/>
      <c r="U30" s="276"/>
      <c r="V30" s="276"/>
      <c r="W30" s="276"/>
      <c r="X30" s="276"/>
      <c r="Y30" s="276"/>
      <c r="Z30" s="276"/>
      <c r="AA30" s="276"/>
      <c r="AB30" s="276"/>
      <c r="AC30" s="276"/>
      <c r="AD30" s="276"/>
      <c r="AE30" s="276"/>
    </row>
    <row r="31" spans="1:31" ht="68.25" customHeight="1">
      <c r="A31" s="284" t="s">
        <v>426</v>
      </c>
      <c r="B31" s="1388" t="s">
        <v>592</v>
      </c>
      <c r="C31" s="1388"/>
      <c r="D31" s="1388"/>
      <c r="E31" s="1388"/>
      <c r="F31" s="276"/>
      <c r="G31" s="276"/>
      <c r="H31" s="276"/>
      <c r="I31" s="276"/>
      <c r="J31" s="162"/>
      <c r="K31" s="276"/>
      <c r="L31" s="276"/>
      <c r="M31" s="276"/>
      <c r="N31" s="276"/>
      <c r="O31" s="276"/>
      <c r="P31" s="276"/>
      <c r="Q31" s="276"/>
      <c r="R31" s="276"/>
      <c r="S31" s="276"/>
      <c r="T31" s="276"/>
      <c r="U31" s="276"/>
      <c r="V31" s="276"/>
      <c r="W31" s="276"/>
      <c r="X31" s="276"/>
      <c r="Y31" s="276"/>
      <c r="Z31" s="276"/>
      <c r="AA31" s="276"/>
      <c r="AB31" s="276"/>
      <c r="AC31" s="276"/>
      <c r="AD31" s="276"/>
      <c r="AE31" s="276"/>
    </row>
    <row r="32" spans="1:31">
      <c r="A32" s="284" t="s">
        <v>426</v>
      </c>
      <c r="B32" s="706" t="s">
        <v>1163</v>
      </c>
      <c r="C32" s="276"/>
      <c r="D32" s="276"/>
      <c r="E32" s="276"/>
      <c r="F32" s="276"/>
      <c r="G32" s="276"/>
      <c r="H32" s="276"/>
      <c r="I32" s="276"/>
      <c r="J32" s="183"/>
      <c r="K32" s="276"/>
      <c r="L32" s="276"/>
      <c r="M32" s="276"/>
      <c r="N32" s="276"/>
      <c r="O32" s="276"/>
      <c r="P32" s="276"/>
      <c r="Q32" s="276"/>
      <c r="R32" s="276"/>
      <c r="S32" s="276"/>
      <c r="T32" s="276"/>
      <c r="U32" s="276"/>
      <c r="V32" s="276"/>
      <c r="W32" s="276"/>
      <c r="X32" s="276"/>
      <c r="Y32" s="276"/>
      <c r="Z32" s="276"/>
      <c r="AA32" s="276"/>
      <c r="AB32" s="276"/>
      <c r="AC32" s="276"/>
      <c r="AD32" s="276"/>
      <c r="AE32" s="276"/>
    </row>
    <row r="33" spans="1:31">
      <c r="A33" s="276"/>
      <c r="B33" s="276"/>
      <c r="C33" s="276"/>
      <c r="D33" s="276"/>
      <c r="E33" s="276"/>
      <c r="F33" s="276"/>
      <c r="G33" s="276"/>
      <c r="H33" s="276"/>
      <c r="I33" s="276"/>
      <c r="J33" s="162"/>
      <c r="K33" s="276"/>
      <c r="L33" s="276"/>
      <c r="M33" s="276"/>
      <c r="N33" s="276"/>
      <c r="O33" s="276"/>
      <c r="P33" s="276"/>
      <c r="Q33" s="276"/>
      <c r="R33" s="276"/>
      <c r="S33" s="276"/>
      <c r="T33" s="276"/>
      <c r="U33" s="276"/>
      <c r="V33" s="276"/>
      <c r="W33" s="276"/>
      <c r="X33" s="276"/>
      <c r="Y33" s="276"/>
      <c r="Z33" s="276"/>
      <c r="AA33" s="276"/>
      <c r="AB33" s="276"/>
      <c r="AC33" s="276"/>
      <c r="AD33" s="276"/>
      <c r="AE33" s="276"/>
    </row>
    <row r="34" spans="1:31">
      <c r="A34" s="276"/>
      <c r="B34" s="276"/>
      <c r="C34" s="276"/>
      <c r="D34" s="276"/>
      <c r="E34" s="276"/>
      <c r="F34" s="276"/>
      <c r="G34" s="276"/>
      <c r="H34" s="276"/>
      <c r="I34" s="276"/>
      <c r="J34" s="162"/>
      <c r="K34" s="276"/>
      <c r="L34" s="276"/>
      <c r="M34" s="276"/>
      <c r="N34" s="276"/>
      <c r="O34" s="276"/>
      <c r="P34" s="276"/>
      <c r="Q34" s="276"/>
      <c r="R34" s="276"/>
      <c r="S34" s="276"/>
      <c r="T34" s="276"/>
      <c r="U34" s="276"/>
      <c r="V34" s="276"/>
      <c r="W34" s="276"/>
      <c r="X34" s="276"/>
      <c r="Y34" s="276"/>
      <c r="Z34" s="276"/>
      <c r="AA34" s="276"/>
      <c r="AB34" s="276"/>
      <c r="AC34" s="276"/>
      <c r="AD34" s="276"/>
      <c r="AE34" s="276"/>
    </row>
    <row r="35" spans="1:31">
      <c r="A35" s="276"/>
      <c r="B35" s="276"/>
      <c r="C35" s="276"/>
      <c r="D35" s="276"/>
      <c r="E35" s="276"/>
      <c r="F35" s="276"/>
      <c r="G35" s="276"/>
      <c r="H35" s="276"/>
      <c r="I35" s="276"/>
      <c r="J35" s="162"/>
      <c r="K35" s="276"/>
      <c r="L35" s="276"/>
      <c r="M35" s="276"/>
      <c r="N35" s="276"/>
      <c r="O35" s="276"/>
      <c r="P35" s="276"/>
      <c r="Q35" s="276"/>
      <c r="R35" s="276"/>
      <c r="S35" s="276"/>
      <c r="T35" s="276"/>
      <c r="U35" s="276"/>
      <c r="V35" s="276"/>
      <c r="W35" s="276"/>
      <c r="X35" s="276"/>
      <c r="Y35" s="276"/>
      <c r="Z35" s="276"/>
      <c r="AA35" s="276"/>
      <c r="AB35" s="276"/>
      <c r="AC35" s="276"/>
      <c r="AD35" s="276"/>
      <c r="AE35" s="276"/>
    </row>
    <row r="36" spans="1:31">
      <c r="A36" s="276"/>
      <c r="B36" s="276"/>
      <c r="C36" s="276"/>
      <c r="D36" s="276"/>
      <c r="E36" s="276"/>
      <c r="F36" s="276"/>
      <c r="G36" s="276"/>
      <c r="H36" s="276"/>
      <c r="I36" s="276"/>
      <c r="J36" s="162"/>
      <c r="K36" s="276"/>
      <c r="L36" s="276"/>
      <c r="M36" s="276"/>
      <c r="N36" s="276"/>
      <c r="O36" s="276"/>
      <c r="P36" s="276"/>
      <c r="Q36" s="276"/>
      <c r="R36" s="276"/>
      <c r="S36" s="276"/>
      <c r="T36" s="276"/>
      <c r="U36" s="276"/>
      <c r="V36" s="276"/>
      <c r="W36" s="276"/>
      <c r="X36" s="276"/>
      <c r="Y36" s="276"/>
      <c r="Z36" s="276"/>
      <c r="AA36" s="276"/>
      <c r="AB36" s="276"/>
      <c r="AC36" s="276"/>
      <c r="AD36" s="276"/>
      <c r="AE36" s="276"/>
    </row>
    <row r="37" spans="1:31">
      <c r="A37" s="276"/>
      <c r="B37" s="276"/>
      <c r="C37" s="276"/>
      <c r="D37" s="276"/>
      <c r="E37" s="276"/>
      <c r="F37" s="276"/>
      <c r="G37" s="276"/>
      <c r="H37" s="276"/>
      <c r="I37" s="276"/>
      <c r="J37" s="162"/>
      <c r="K37" s="276"/>
      <c r="L37" s="276"/>
      <c r="M37" s="276"/>
      <c r="N37" s="276"/>
      <c r="O37" s="276"/>
      <c r="P37" s="276"/>
      <c r="Q37" s="276"/>
      <c r="R37" s="276"/>
      <c r="S37" s="276"/>
      <c r="T37" s="276"/>
      <c r="U37" s="276"/>
      <c r="V37" s="276"/>
      <c r="W37" s="276"/>
      <c r="X37" s="276"/>
      <c r="Y37" s="276"/>
      <c r="Z37" s="276"/>
      <c r="AA37" s="276"/>
      <c r="AB37" s="276"/>
      <c r="AC37" s="276"/>
      <c r="AD37" s="276"/>
      <c r="AE37" s="276"/>
    </row>
    <row r="38" spans="1:31">
      <c r="A38" s="276"/>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row>
    <row r="39" spans="1:31">
      <c r="A39" s="276"/>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c r="AE39" s="276"/>
    </row>
    <row r="40" spans="1:31">
      <c r="A40" s="276"/>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row>
    <row r="41" spans="1:31">
      <c r="A41" s="276"/>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276"/>
    </row>
    <row r="42" spans="1:31">
      <c r="A42" s="276"/>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row>
    <row r="43" spans="1:31">
      <c r="A43" s="276"/>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row>
    <row r="44" spans="1:31">
      <c r="A44" s="276"/>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276"/>
    </row>
    <row r="45" spans="1:31">
      <c r="A45" s="276"/>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row>
    <row r="46" spans="1:31">
      <c r="A46" s="276"/>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row>
    <row r="47" spans="1:31">
      <c r="A47" s="276"/>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c r="AE47" s="276"/>
    </row>
    <row r="48" spans="1:31">
      <c r="A48" s="276"/>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row>
    <row r="49" spans="1:31">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row>
    <row r="50" spans="1:31">
      <c r="A50" s="276"/>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276"/>
    </row>
    <row r="51" spans="1:31">
      <c r="A51" s="276"/>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row>
    <row r="52" spans="1:31">
      <c r="A52" s="276"/>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c r="AE52" s="276"/>
    </row>
    <row r="53" spans="1:31">
      <c r="A53" s="276"/>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row>
    <row r="54" spans="1:31">
      <c r="A54" s="276"/>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row>
    <row r="55" spans="1:31">
      <c r="A55" s="276"/>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row>
    <row r="56" spans="1:31">
      <c r="A56" s="276"/>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row>
    <row r="57" spans="1:31">
      <c r="A57" s="276"/>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c r="AE57" s="276"/>
    </row>
    <row r="58" spans="1:31">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c r="AE58" s="276"/>
    </row>
    <row r="59" spans="1:31">
      <c r="A59" s="276"/>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c r="AE59" s="276"/>
    </row>
    <row r="60" spans="1:31">
      <c r="A60" s="276"/>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row>
    <row r="61" spans="1:31">
      <c r="A61" s="276"/>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c r="AE61" s="276"/>
    </row>
    <row r="62" spans="1:31">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row>
    <row r="63" spans="1:31">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row>
    <row r="64" spans="1:31">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276"/>
    </row>
    <row r="65" spans="1:31">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c r="AE65" s="276"/>
    </row>
    <row r="66" spans="1:31">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276"/>
    </row>
    <row r="67" spans="1:31">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row>
    <row r="68" spans="1:31">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c r="AE68" s="276"/>
    </row>
    <row r="69" spans="1:31">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row>
    <row r="70" spans="1:31">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c r="AE70" s="276"/>
    </row>
    <row r="71" spans="1:31">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row>
    <row r="72" spans="1:31">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276"/>
    </row>
    <row r="73" spans="1:31">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row>
    <row r="74" spans="1:31">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c r="AE74" s="276"/>
    </row>
    <row r="75" spans="1:31">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row>
    <row r="76" spans="1:31">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row>
    <row r="77" spans="1:31">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c r="AE77" s="276"/>
    </row>
    <row r="78" spans="1:31">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row>
    <row r="79" spans="1:31">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row>
    <row r="80" spans="1:31">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276"/>
    </row>
    <row r="81" spans="1:31">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row>
    <row r="82" spans="1:31">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row>
    <row r="83" spans="1:31">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row>
    <row r="84" spans="1:31">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row>
    <row r="85" spans="1:31">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row>
    <row r="86" spans="1:31">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row>
    <row r="87" spans="1:31">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row>
    <row r="88" spans="1:31">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row>
    <row r="89" spans="1:31">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row>
    <row r="90" spans="1:31">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276"/>
    </row>
    <row r="91" spans="1:31">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c r="AE91" s="276"/>
    </row>
    <row r="92" spans="1:31">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c r="AE92" s="276"/>
    </row>
    <row r="93" spans="1:31">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c r="AE93" s="276"/>
    </row>
    <row r="94" spans="1:31">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276"/>
    </row>
    <row r="95" spans="1:31">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276"/>
    </row>
    <row r="96" spans="1:31">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276"/>
    </row>
    <row r="97" spans="1:31">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c r="AE97" s="276"/>
    </row>
    <row r="98" spans="1:31">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c r="AE98" s="276"/>
    </row>
    <row r="99" spans="1:31">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row>
    <row r="100" spans="1:31">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c r="AE100" s="276"/>
    </row>
    <row r="101" spans="1:31">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c r="AE101" s="276"/>
    </row>
    <row r="102" spans="1:31">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c r="AE102" s="276"/>
    </row>
    <row r="103" spans="1:31">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276"/>
    </row>
    <row r="104" spans="1:31">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276"/>
    </row>
    <row r="105" spans="1:31">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c r="AE105" s="276"/>
    </row>
    <row r="106" spans="1:31">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c r="AE106" s="276"/>
    </row>
    <row r="107" spans="1:31">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c r="AE107" s="276"/>
    </row>
    <row r="108" spans="1:31">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c r="AE108" s="276"/>
    </row>
    <row r="109" spans="1:31">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c r="AE109" s="276"/>
    </row>
    <row r="110" spans="1:31">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c r="AE110" s="276"/>
    </row>
    <row r="111" spans="1:31">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276"/>
    </row>
    <row r="112" spans="1:31">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276"/>
    </row>
    <row r="113" spans="1:31">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c r="AE113" s="276"/>
    </row>
    <row r="114" spans="1:31">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276"/>
    </row>
    <row r="115" spans="1:31">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c r="AE115" s="276"/>
    </row>
    <row r="116" spans="1:31">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c r="AE116" s="276"/>
    </row>
    <row r="117" spans="1:31">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c r="AE117" s="276"/>
    </row>
    <row r="118" spans="1:31">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c r="AE118" s="276"/>
    </row>
    <row r="119" spans="1:31">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276"/>
    </row>
    <row r="120" spans="1:31">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276"/>
    </row>
    <row r="121" spans="1:31">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276"/>
    </row>
    <row r="122" spans="1:31">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c r="AE122" s="276"/>
    </row>
    <row r="123" spans="1:31">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c r="AE123" s="276"/>
    </row>
    <row r="124" spans="1:31">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row>
    <row r="125" spans="1:31">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c r="AE125" s="276"/>
    </row>
    <row r="126" spans="1:31">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c r="AE126" s="276"/>
    </row>
    <row r="127" spans="1:31">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c r="AE127" s="276"/>
    </row>
    <row r="128" spans="1:31">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row>
    <row r="129" spans="1:31">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276"/>
    </row>
    <row r="130" spans="1:31">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c r="AE130" s="276"/>
    </row>
    <row r="131" spans="1:31">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c r="AE131" s="276"/>
    </row>
    <row r="132" spans="1:31">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c r="AE132" s="276"/>
    </row>
    <row r="133" spans="1:31">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276"/>
    </row>
    <row r="134" spans="1:31">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c r="AE134" s="276"/>
    </row>
    <row r="135" spans="1:31">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c r="AE135" s="276"/>
    </row>
    <row r="136" spans="1:31">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c r="AE136" s="276"/>
    </row>
    <row r="137" spans="1:31">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c r="AE137" s="276"/>
    </row>
    <row r="138" spans="1:31">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c r="AE138" s="276"/>
    </row>
    <row r="139" spans="1:31">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c r="AE139" s="276"/>
    </row>
    <row r="140" spans="1:31">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c r="AE140" s="276"/>
    </row>
    <row r="141" spans="1:31">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c r="AE141" s="276"/>
    </row>
    <row r="142" spans="1:31">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276"/>
    </row>
    <row r="143" spans="1:31">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276"/>
    </row>
    <row r="144" spans="1:31">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276"/>
    </row>
    <row r="145" spans="1:31">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c r="AE145" s="276"/>
    </row>
    <row r="146" spans="1:31">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c r="AE146" s="276"/>
    </row>
    <row r="147" spans="1:31">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c r="AE147" s="276"/>
    </row>
    <row r="148" spans="1:31">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c r="AE148" s="276"/>
    </row>
    <row r="149" spans="1:31">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276"/>
    </row>
    <row r="150" spans="1:31">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276"/>
    </row>
    <row r="151" spans="1:31">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c r="AE151" s="276"/>
    </row>
    <row r="152" spans="1:31">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276"/>
    </row>
    <row r="153" spans="1:31">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6"/>
    </row>
    <row r="154" spans="1:31">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c r="AE154" s="276"/>
    </row>
    <row r="155" spans="1:31">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c r="AE155" s="276"/>
    </row>
    <row r="156" spans="1:31">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276"/>
    </row>
    <row r="157" spans="1:31">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c r="AE157" s="276"/>
    </row>
    <row r="158" spans="1:31">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276"/>
    </row>
    <row r="159" spans="1:31">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276"/>
    </row>
    <row r="160" spans="1:31">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row>
    <row r="161" spans="1:31">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row>
    <row r="162" spans="1:31">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276"/>
    </row>
    <row r="163" spans="1:31">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c r="AE163" s="276"/>
    </row>
    <row r="164" spans="1:31">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c r="AE164" s="276"/>
    </row>
    <row r="165" spans="1:31">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c r="AE165" s="276"/>
    </row>
    <row r="166" spans="1:31">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c r="AE166" s="276"/>
    </row>
    <row r="167" spans="1:31">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c r="AE167" s="276"/>
    </row>
    <row r="168" spans="1:31">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c r="AE168" s="276"/>
    </row>
    <row r="169" spans="1:31">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76"/>
      <c r="AE169" s="276"/>
    </row>
    <row r="170" spans="1:31">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76"/>
      <c r="AE170" s="276"/>
    </row>
    <row r="171" spans="1:31">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c r="AE171" s="276"/>
    </row>
    <row r="172" spans="1:31">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c r="AE172" s="276"/>
    </row>
    <row r="173" spans="1:31">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c r="AE173" s="276"/>
    </row>
    <row r="174" spans="1:31">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76"/>
      <c r="AE174" s="276"/>
    </row>
    <row r="175" spans="1:31">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c r="AE175" s="276"/>
    </row>
    <row r="176" spans="1:31">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276"/>
    </row>
    <row r="177" spans="1:31">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c r="AE177" s="276"/>
    </row>
    <row r="178" spans="1:31">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c r="AE178" s="276"/>
    </row>
    <row r="179" spans="1:31">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c r="AE179" s="276"/>
    </row>
    <row r="180" spans="1:31">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c r="AE180" s="276"/>
    </row>
    <row r="181" spans="1:31">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276"/>
    </row>
    <row r="182" spans="1:31">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c r="AE182" s="276"/>
    </row>
    <row r="183" spans="1:31">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76"/>
      <c r="AE183" s="276"/>
    </row>
    <row r="184" spans="1:31">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c r="AE184" s="276"/>
    </row>
    <row r="185" spans="1:31">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276"/>
    </row>
    <row r="186" spans="1:31">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276"/>
    </row>
    <row r="187" spans="1:31">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c r="AE187" s="276"/>
    </row>
    <row r="188" spans="1:31">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c r="AE188" s="276"/>
    </row>
    <row r="189" spans="1:31">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6"/>
    </row>
    <row r="190" spans="1:31">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276"/>
    </row>
    <row r="191" spans="1:31">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76"/>
      <c r="AE191" s="276"/>
    </row>
    <row r="192" spans="1:31">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76"/>
      <c r="AE192" s="276"/>
    </row>
    <row r="193" spans="1:31">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76"/>
      <c r="AE193" s="276"/>
    </row>
    <row r="194" spans="1:31">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76"/>
      <c r="AE194" s="276"/>
    </row>
    <row r="195" spans="1:31">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76"/>
      <c r="AE195" s="276"/>
    </row>
    <row r="196" spans="1:31">
      <c r="A196" s="276"/>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c r="AE196" s="276"/>
    </row>
    <row r="197" spans="1:31">
      <c r="A197" s="276"/>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c r="AE197" s="276"/>
    </row>
    <row r="198" spans="1:31">
      <c r="A198" s="276"/>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76"/>
      <c r="AE198" s="276"/>
    </row>
    <row r="199" spans="1:31">
      <c r="A199" s="276"/>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c r="AE199" s="276"/>
    </row>
    <row r="200" spans="1:31">
      <c r="A200" s="276"/>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76"/>
      <c r="AE200" s="276"/>
    </row>
    <row r="201" spans="1:31">
      <c r="A201" s="276"/>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76"/>
      <c r="AE201" s="276"/>
    </row>
    <row r="202" spans="1:31">
      <c r="A202" s="276"/>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76"/>
      <c r="AE202" s="276"/>
    </row>
    <row r="203" spans="1:31">
      <c r="A203" s="276"/>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76"/>
      <c r="AE203" s="276"/>
    </row>
    <row r="204" spans="1:31">
      <c r="A204" s="276"/>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76"/>
      <c r="AE204" s="276"/>
    </row>
    <row r="205" spans="1:31">
      <c r="A205" s="276"/>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76"/>
      <c r="AE205" s="276"/>
    </row>
    <row r="206" spans="1:31">
      <c r="A206" s="276"/>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276"/>
    </row>
  </sheetData>
  <sheetProtection sheet="1" objects="1" scenarios="1"/>
  <mergeCells count="10">
    <mergeCell ref="B31:E31"/>
    <mergeCell ref="B29:E29"/>
    <mergeCell ref="B30:E30"/>
    <mergeCell ref="A6:E6"/>
    <mergeCell ref="A9:E9"/>
    <mergeCell ref="A18:E18"/>
    <mergeCell ref="B13:E13"/>
    <mergeCell ref="B14:E14"/>
    <mergeCell ref="B15:E15"/>
    <mergeCell ref="B25:E25"/>
  </mergeCells>
  <hyperlinks>
    <hyperlink ref="A10" r:id="rId1" xr:uid="{00000000-0004-0000-1600-000000000000}"/>
  </hyperlinks>
  <pageMargins left="0.25" right="0.25" top="0.25" bottom="0.5" header="0.5" footer="0.25"/>
  <pageSetup orientation="portrait" r:id="rId2"/>
  <headerFooter alignWithMargins="0">
    <oddFooter>&amp;L&amp;"Arial,Italic"&amp;9EPA Climate Leaders Simplified GHG Emissions Calculator (Direct 1.0)&amp;R&amp;"Arial,Italic"&amp;9&amp;P of &amp;N</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D202"/>
  <sheetViews>
    <sheetView topLeftCell="A16" zoomScale="135" zoomScaleNormal="80" workbookViewId="0"/>
  </sheetViews>
  <sheetFormatPr defaultColWidth="9.140625" defaultRowHeight="12.75"/>
  <cols>
    <col min="1" max="1" width="9.85546875" style="275" customWidth="1"/>
    <col min="2" max="2" width="33.85546875" style="275" customWidth="1"/>
    <col min="3" max="3" width="28.85546875" style="275" customWidth="1"/>
    <col min="4" max="5" width="15.85546875" style="275" customWidth="1"/>
    <col min="6" max="7" width="6.140625" style="275" customWidth="1"/>
    <col min="8" max="16384" width="9.140625" style="275"/>
  </cols>
  <sheetData>
    <row r="1" spans="1:30" ht="24.95" customHeight="1">
      <c r="A1" s="276"/>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row>
    <row r="2" spans="1:30" ht="24.95" customHeight="1">
      <c r="A2" s="276"/>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row>
    <row r="3" spans="1:30" ht="15">
      <c r="A3" s="277" t="s">
        <v>817</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row>
    <row r="4" spans="1:30">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row>
    <row r="5" spans="1:30">
      <c r="A5" s="278" t="s">
        <v>420</v>
      </c>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row>
    <row r="6" spans="1:30" ht="67.5" customHeight="1">
      <c r="A6" s="1395" t="s">
        <v>557</v>
      </c>
      <c r="B6" s="1395"/>
      <c r="C6" s="1395"/>
      <c r="D6" s="1395"/>
      <c r="E6" s="1395"/>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row>
    <row r="7" spans="1:30">
      <c r="A7" s="281"/>
      <c r="B7" s="281"/>
      <c r="C7" s="281"/>
      <c r="D7" s="281"/>
      <c r="E7" s="281"/>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row>
    <row r="8" spans="1:30">
      <c r="A8" s="282" t="s">
        <v>422</v>
      </c>
      <c r="B8" s="281"/>
      <c r="C8" s="281"/>
      <c r="D8" s="281"/>
      <c r="E8" s="281"/>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row>
    <row r="9" spans="1:30" ht="102.75" customHeight="1">
      <c r="A9" s="1395" t="s">
        <v>536</v>
      </c>
      <c r="B9" s="1395"/>
      <c r="C9" s="1395"/>
      <c r="D9" s="1395"/>
      <c r="E9" s="1395"/>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row>
    <row r="10" spans="1:30" ht="17.25" customHeight="1">
      <c r="A10" s="285" t="s">
        <v>475</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row>
    <row r="11" spans="1:30">
      <c r="A11" s="284" t="s">
        <v>426</v>
      </c>
      <c r="B11" s="1388" t="s">
        <v>634</v>
      </c>
      <c r="C11" s="1388"/>
      <c r="D11" s="1388"/>
      <c r="E11" s="1388"/>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row>
    <row r="12" spans="1:30">
      <c r="A12" s="284" t="s">
        <v>426</v>
      </c>
      <c r="B12" s="1388" t="s">
        <v>635</v>
      </c>
      <c r="C12" s="1388"/>
      <c r="D12" s="1388"/>
      <c r="E12" s="1388"/>
      <c r="F12" s="276"/>
      <c r="G12" s="276"/>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row>
    <row r="13" spans="1:30">
      <c r="A13" s="284" t="s">
        <v>426</v>
      </c>
      <c r="B13" s="1388" t="s">
        <v>636</v>
      </c>
      <c r="C13" s="1388"/>
      <c r="D13" s="1388"/>
      <c r="E13" s="1388"/>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row>
    <row r="14" spans="1:30">
      <c r="A14" s="284" t="s">
        <v>426</v>
      </c>
      <c r="B14" s="1388" t="s">
        <v>594</v>
      </c>
      <c r="C14" s="1388"/>
      <c r="D14" s="1388"/>
      <c r="E14" s="1388"/>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row>
    <row r="15" spans="1:30">
      <c r="A15" s="284" t="s">
        <v>426</v>
      </c>
      <c r="B15" s="1388" t="s">
        <v>535</v>
      </c>
      <c r="C15" s="1388"/>
      <c r="D15" s="1388"/>
      <c r="E15" s="1388"/>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row>
    <row r="16" spans="1:30">
      <c r="A16" s="284"/>
      <c r="B16" s="287"/>
      <c r="C16" s="287"/>
      <c r="D16" s="287"/>
      <c r="E16" s="287"/>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row>
    <row r="17" spans="1:30">
      <c r="A17" s="283" t="s">
        <v>423</v>
      </c>
      <c r="B17" s="281"/>
      <c r="C17" s="281"/>
      <c r="D17" s="281"/>
      <c r="E17" s="281"/>
      <c r="F17" s="276"/>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row>
    <row r="18" spans="1:30" ht="50.25" customHeight="1">
      <c r="A18" s="1395" t="s">
        <v>714</v>
      </c>
      <c r="B18" s="1395"/>
      <c r="C18" s="1395"/>
      <c r="D18" s="1395"/>
      <c r="E18" s="1395"/>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row>
    <row r="19" spans="1:30" ht="44.25" customHeight="1">
      <c r="A19" s="281"/>
      <c r="B19" s="1390" t="s">
        <v>595</v>
      </c>
      <c r="C19" s="1390"/>
      <c r="D19" s="1390"/>
      <c r="E19" s="1390"/>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row>
    <row r="20" spans="1:30" ht="79.5" customHeight="1">
      <c r="A20" s="281"/>
      <c r="B20" s="1390" t="s">
        <v>596</v>
      </c>
      <c r="C20" s="1390"/>
      <c r="D20" s="1390"/>
      <c r="E20" s="1390"/>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row>
    <row r="21" spans="1:30" ht="66" customHeight="1">
      <c r="A21" s="276"/>
      <c r="B21" s="1390" t="s">
        <v>579</v>
      </c>
      <c r="C21" s="1390"/>
      <c r="D21" s="1390"/>
      <c r="E21" s="1390"/>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row>
    <row r="22" spans="1:30">
      <c r="A22" s="276"/>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row>
    <row r="23" spans="1:30">
      <c r="A23" s="283" t="s">
        <v>429</v>
      </c>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row>
    <row r="24" spans="1:30" ht="29.25" customHeight="1">
      <c r="A24" s="284" t="s">
        <v>426</v>
      </c>
      <c r="B24" s="1388" t="s">
        <v>1002</v>
      </c>
      <c r="C24" s="1388"/>
      <c r="D24" s="1388"/>
      <c r="E24" s="1388"/>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row>
    <row r="25" spans="1:30" ht="32.25" customHeight="1">
      <c r="A25" s="284" t="s">
        <v>426</v>
      </c>
      <c r="B25" s="1388" t="s">
        <v>597</v>
      </c>
      <c r="C25" s="1388"/>
      <c r="D25" s="1388"/>
      <c r="E25" s="1388"/>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row>
    <row r="26" spans="1:30" ht="27.75" customHeight="1">
      <c r="A26" s="284" t="s">
        <v>426</v>
      </c>
      <c r="B26" s="1388" t="s">
        <v>1003</v>
      </c>
      <c r="C26" s="1388"/>
      <c r="D26" s="1388"/>
      <c r="E26" s="1388"/>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row>
    <row r="27" spans="1:30">
      <c r="A27" s="276"/>
      <c r="B27" s="243" t="s">
        <v>534</v>
      </c>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30" ht="29.25" customHeight="1">
      <c r="A28" s="284" t="s">
        <v>426</v>
      </c>
      <c r="B28" s="1388" t="s">
        <v>567</v>
      </c>
      <c r="C28" s="1388"/>
      <c r="D28" s="1388"/>
      <c r="E28" s="1388"/>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row>
    <row r="29" spans="1:30">
      <c r="A29" s="276"/>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row>
    <row r="30" spans="1:30">
      <c r="A30" s="276"/>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row>
    <row r="31" spans="1:30">
      <c r="A31" s="276"/>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row>
    <row r="32" spans="1:30">
      <c r="A32" s="276"/>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row>
    <row r="33" spans="1:30">
      <c r="A33" s="276"/>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row>
    <row r="34" spans="1:30">
      <c r="A34" s="276"/>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row>
    <row r="35" spans="1:30">
      <c r="A35" s="276"/>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row>
    <row r="36" spans="1:30">
      <c r="A36" s="276"/>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row>
    <row r="37" spans="1:30">
      <c r="A37" s="276"/>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row>
    <row r="38" spans="1:30">
      <c r="A38" s="276"/>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row>
    <row r="39" spans="1:30">
      <c r="A39" s="276"/>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row>
    <row r="40" spans="1:30">
      <c r="A40" s="276"/>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row>
    <row r="41" spans="1:30">
      <c r="A41" s="276"/>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row>
    <row r="42" spans="1:30">
      <c r="A42" s="276"/>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row>
    <row r="43" spans="1:30">
      <c r="A43" s="276"/>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row>
    <row r="44" spans="1:30">
      <c r="A44" s="276"/>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row>
    <row r="45" spans="1:30">
      <c r="A45" s="276"/>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row>
    <row r="46" spans="1:30">
      <c r="A46" s="276"/>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row>
    <row r="47" spans="1:30">
      <c r="A47" s="276"/>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row>
    <row r="48" spans="1:30">
      <c r="A48" s="276"/>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row>
    <row r="49" spans="1:30">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row>
    <row r="50" spans="1:30">
      <c r="A50" s="276"/>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row>
    <row r="51" spans="1:30">
      <c r="A51" s="276"/>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row>
    <row r="52" spans="1:30">
      <c r="A52" s="276"/>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row>
    <row r="53" spans="1:30">
      <c r="A53" s="276"/>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row>
    <row r="54" spans="1:30">
      <c r="A54" s="276"/>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row>
    <row r="55" spans="1:30">
      <c r="A55" s="276"/>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row>
    <row r="56" spans="1:30">
      <c r="A56" s="276"/>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row>
    <row r="57" spans="1:30">
      <c r="A57" s="276"/>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row>
    <row r="58" spans="1:30">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row>
    <row r="59" spans="1:30">
      <c r="A59" s="276"/>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row>
    <row r="60" spans="1:30">
      <c r="A60" s="276"/>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row>
    <row r="61" spans="1:30">
      <c r="A61" s="276"/>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row>
    <row r="62" spans="1:30">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row>
    <row r="63" spans="1:30">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row>
    <row r="64" spans="1:30">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row>
    <row r="65" spans="1:30">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row>
    <row r="66" spans="1:30">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row>
    <row r="67" spans="1:30">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row>
    <row r="68" spans="1:30">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row>
    <row r="69" spans="1:30">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row>
    <row r="70" spans="1:30">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row>
    <row r="71" spans="1:30">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row>
    <row r="72" spans="1:30">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row>
    <row r="73" spans="1:30">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row>
    <row r="74" spans="1:30">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row>
    <row r="75" spans="1:30">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row>
    <row r="76" spans="1:30">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row>
    <row r="77" spans="1:30">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row>
    <row r="78" spans="1:30">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row>
    <row r="79" spans="1:30">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row>
    <row r="80" spans="1:30">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row>
    <row r="81" spans="1:30">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row>
    <row r="82" spans="1:30">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row>
    <row r="83" spans="1:30">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row>
    <row r="84" spans="1:30">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row>
    <row r="85" spans="1:30">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row>
    <row r="86" spans="1:30">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row>
    <row r="87" spans="1:30">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row>
    <row r="88" spans="1:30">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row>
    <row r="89" spans="1:30">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row>
    <row r="90" spans="1:30">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row>
    <row r="91" spans="1:30">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row>
    <row r="92" spans="1:30">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row>
    <row r="93" spans="1:30">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row>
    <row r="94" spans="1:30">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row>
    <row r="95" spans="1:30">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row>
    <row r="96" spans="1:30">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row>
    <row r="97" spans="1:30">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row>
    <row r="98" spans="1:30">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row>
    <row r="99" spans="1:30">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row>
    <row r="100" spans="1:30">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row>
    <row r="101" spans="1:30">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row>
    <row r="102" spans="1:30">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row>
    <row r="103" spans="1:30">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row>
    <row r="104" spans="1:30">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row>
    <row r="105" spans="1:30">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row>
    <row r="106" spans="1:30">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row>
    <row r="107" spans="1:30">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row>
    <row r="108" spans="1:30">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row>
    <row r="109" spans="1:30">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row>
    <row r="110" spans="1:30">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row>
    <row r="111" spans="1:30">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row>
    <row r="112" spans="1:30">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row>
    <row r="113" spans="1:30">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row>
    <row r="114" spans="1:30">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row>
    <row r="115" spans="1:30">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row>
    <row r="116" spans="1:30">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row>
    <row r="117" spans="1:30">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row>
    <row r="118" spans="1:30">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row>
    <row r="119" spans="1:30">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row>
    <row r="120" spans="1:30">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row>
    <row r="121" spans="1:30">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row>
    <row r="122" spans="1:30">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row>
    <row r="123" spans="1:30">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row>
    <row r="124" spans="1:30">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row>
    <row r="125" spans="1:30">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row>
    <row r="126" spans="1:30">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row>
    <row r="127" spans="1:30">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row>
    <row r="128" spans="1:30">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row>
    <row r="129" spans="1:30">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row>
    <row r="130" spans="1:30">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row>
    <row r="131" spans="1:30">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row>
    <row r="132" spans="1:30">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row>
    <row r="133" spans="1:30">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row>
    <row r="134" spans="1:30">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row>
    <row r="135" spans="1:30">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row>
    <row r="136" spans="1:30">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row>
    <row r="137" spans="1:30">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row>
    <row r="138" spans="1:30">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row>
    <row r="139" spans="1:30">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row>
    <row r="140" spans="1:30">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row>
    <row r="141" spans="1:30">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row>
    <row r="142" spans="1:30">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row>
    <row r="143" spans="1:30">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row>
    <row r="144" spans="1:30">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row>
    <row r="145" spans="1:30">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row>
    <row r="146" spans="1:30">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row>
    <row r="147" spans="1:30">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row>
    <row r="148" spans="1:30">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row>
    <row r="149" spans="1:30">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row>
    <row r="150" spans="1:30">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row>
    <row r="151" spans="1:30">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row>
    <row r="152" spans="1:30">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row>
    <row r="153" spans="1:30">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row>
    <row r="154" spans="1:30">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row>
    <row r="155" spans="1:30">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row>
    <row r="156" spans="1:30">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row>
    <row r="157" spans="1:30">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row>
    <row r="158" spans="1:30">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row>
    <row r="159" spans="1:30">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row>
    <row r="160" spans="1:30">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row>
    <row r="161" spans="1:30">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row>
    <row r="162" spans="1:30">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row>
    <row r="163" spans="1:30">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row>
    <row r="164" spans="1:30">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row>
    <row r="165" spans="1:30">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row>
    <row r="166" spans="1:30">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row>
    <row r="167" spans="1:30">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row>
    <row r="168" spans="1:30">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row>
    <row r="169" spans="1:30">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76"/>
    </row>
    <row r="170" spans="1:30">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76"/>
    </row>
    <row r="171" spans="1:30">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row>
    <row r="172" spans="1:30">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row>
    <row r="173" spans="1:30">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row>
    <row r="174" spans="1:30">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76"/>
    </row>
    <row r="175" spans="1:30">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row>
    <row r="176" spans="1:30">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row>
    <row r="177" spans="1:30">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row>
    <row r="178" spans="1:30">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row>
    <row r="179" spans="1:30">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row>
    <row r="180" spans="1:30">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row>
    <row r="181" spans="1:30">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row>
    <row r="182" spans="1:30">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row>
    <row r="183" spans="1:30">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76"/>
    </row>
    <row r="184" spans="1:30">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row>
    <row r="185" spans="1:30">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row>
    <row r="186" spans="1:30">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row>
    <row r="187" spans="1:30">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row>
    <row r="188" spans="1:30">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row>
    <row r="189" spans="1:30">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row>
    <row r="190" spans="1:30">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row>
    <row r="191" spans="1:30">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76"/>
    </row>
    <row r="192" spans="1:30">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76"/>
    </row>
    <row r="193" spans="1:30">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76"/>
    </row>
    <row r="194" spans="1:30">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76"/>
    </row>
    <row r="195" spans="1:30">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76"/>
    </row>
    <row r="196" spans="1:30">
      <c r="A196" s="276"/>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row>
    <row r="197" spans="1:30">
      <c r="A197" s="276"/>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row>
    <row r="198" spans="1:30">
      <c r="A198" s="276"/>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76"/>
    </row>
    <row r="199" spans="1:30">
      <c r="A199" s="276"/>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row>
    <row r="200" spans="1:30">
      <c r="A200" s="276"/>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76"/>
    </row>
    <row r="201" spans="1:30">
      <c r="A201" s="276"/>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76"/>
    </row>
    <row r="202" spans="1:30">
      <c r="A202" s="276"/>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76"/>
    </row>
  </sheetData>
  <sheetProtection sheet="1"/>
  <mergeCells count="15">
    <mergeCell ref="A6:E6"/>
    <mergeCell ref="A9:E9"/>
    <mergeCell ref="A18:E18"/>
    <mergeCell ref="B19:E19"/>
    <mergeCell ref="B20:E20"/>
    <mergeCell ref="B11:E11"/>
    <mergeCell ref="B12:E12"/>
    <mergeCell ref="B13:E13"/>
    <mergeCell ref="B28:E28"/>
    <mergeCell ref="B26:E26"/>
    <mergeCell ref="B21:E21"/>
    <mergeCell ref="B14:E14"/>
    <mergeCell ref="B15:E15"/>
    <mergeCell ref="B24:E24"/>
    <mergeCell ref="B25:E25"/>
  </mergeCells>
  <hyperlinks>
    <hyperlink ref="B27" r:id="rId1" xr:uid="{00000000-0004-0000-1700-000000000000}"/>
  </hyperlinks>
  <pageMargins left="0.25" right="0.25" top="0.25" bottom="0.5" header="0.5" footer="0.25"/>
  <pageSetup orientation="portrait" r:id="rId2"/>
  <headerFooter alignWithMargins="0">
    <oddFooter>&amp;L&amp;"Arial,Italic"&amp;9EPA Climate Leaders Simplified GHG Emissions Calculator (Direct 1.0)&amp;R&amp;"Arial,Italic"&amp;9&amp;P of &amp;N</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D201"/>
  <sheetViews>
    <sheetView zoomScale="80" zoomScaleNormal="80" workbookViewId="0"/>
  </sheetViews>
  <sheetFormatPr defaultColWidth="9.140625" defaultRowHeight="12.75"/>
  <cols>
    <col min="1" max="1" width="9.85546875" style="275" customWidth="1"/>
    <col min="2" max="2" width="33.85546875" style="275" customWidth="1"/>
    <col min="3" max="3" width="28.85546875" style="275" customWidth="1"/>
    <col min="4" max="5" width="15.85546875" style="275" customWidth="1"/>
    <col min="6" max="7" width="6.140625" style="275" customWidth="1"/>
    <col min="8" max="16384" width="9.140625" style="275"/>
  </cols>
  <sheetData>
    <row r="1" spans="1:30" ht="24.95" customHeight="1">
      <c r="A1" s="276"/>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row>
    <row r="2" spans="1:30" ht="24.95" customHeight="1">
      <c r="A2" s="276"/>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row>
    <row r="3" spans="1:30" ht="15">
      <c r="A3" s="292" t="s">
        <v>818</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row>
    <row r="4" spans="1:30">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row>
    <row r="5" spans="1:30">
      <c r="A5" s="316" t="s">
        <v>420</v>
      </c>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row>
    <row r="6" spans="1:30" ht="47.25" customHeight="1">
      <c r="A6" s="1395" t="s">
        <v>424</v>
      </c>
      <c r="B6" s="1395"/>
      <c r="C6" s="1395"/>
      <c r="D6" s="1395"/>
      <c r="E6" s="1395"/>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row>
    <row r="7" spans="1:30">
      <c r="A7" s="281"/>
      <c r="B7" s="281"/>
      <c r="C7" s="281"/>
      <c r="D7" s="281"/>
      <c r="E7" s="281"/>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row>
    <row r="8" spans="1:30">
      <c r="A8" s="317" t="s">
        <v>422</v>
      </c>
      <c r="B8" s="281"/>
      <c r="C8" s="281"/>
      <c r="D8" s="281"/>
      <c r="E8" s="281"/>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row>
    <row r="9" spans="1:30" ht="54" customHeight="1">
      <c r="A9" s="1395" t="s">
        <v>425</v>
      </c>
      <c r="B9" s="1395"/>
      <c r="C9" s="1395"/>
      <c r="D9" s="1395"/>
      <c r="E9" s="1395"/>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row>
    <row r="10" spans="1:30" ht="17.25" customHeight="1">
      <c r="A10" s="318" t="s">
        <v>527</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row>
    <row r="11" spans="1:30" ht="12.75" customHeight="1">
      <c r="A11" s="284" t="s">
        <v>426</v>
      </c>
      <c r="B11" s="1388" t="s">
        <v>637</v>
      </c>
      <c r="C11" s="1388"/>
      <c r="D11" s="1388"/>
      <c r="E11" s="1388"/>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row>
    <row r="12" spans="1:30" ht="12.75" customHeight="1">
      <c r="A12" s="284" t="s">
        <v>426</v>
      </c>
      <c r="B12" s="1388" t="s">
        <v>635</v>
      </c>
      <c r="C12" s="1388"/>
      <c r="D12" s="1388"/>
      <c r="E12" s="1388"/>
      <c r="F12" s="276"/>
      <c r="G12" s="276"/>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row>
    <row r="13" spans="1:30" ht="12.75" customHeight="1">
      <c r="A13" s="284" t="s">
        <v>426</v>
      </c>
      <c r="B13" s="1388" t="s">
        <v>638</v>
      </c>
      <c r="C13" s="1388"/>
      <c r="D13" s="1388"/>
      <c r="E13" s="1388"/>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row>
    <row r="14" spans="1:30" ht="12.75" customHeight="1">
      <c r="A14" s="284" t="s">
        <v>426</v>
      </c>
      <c r="B14" s="1388" t="s">
        <v>600</v>
      </c>
      <c r="C14" s="1388"/>
      <c r="D14" s="1388"/>
      <c r="E14" s="1388"/>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row>
    <row r="15" spans="1:30">
      <c r="A15" s="281"/>
      <c r="B15" s="281"/>
      <c r="C15" s="281"/>
      <c r="D15" s="281"/>
      <c r="E15" s="281"/>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row>
    <row r="16" spans="1:30">
      <c r="A16" s="319" t="s">
        <v>423</v>
      </c>
      <c r="B16" s="281"/>
      <c r="C16" s="281"/>
      <c r="D16" s="281"/>
      <c r="E16" s="281"/>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row>
    <row r="17" spans="1:30" ht="31.5" customHeight="1">
      <c r="A17" s="1395" t="s">
        <v>715</v>
      </c>
      <c r="B17" s="1395"/>
      <c r="C17" s="1395"/>
      <c r="D17" s="1395"/>
      <c r="E17" s="1395"/>
      <c r="F17" s="276"/>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row>
    <row r="18" spans="1:30">
      <c r="A18" s="281"/>
      <c r="B18" s="281"/>
      <c r="C18" s="281"/>
      <c r="D18" s="281"/>
      <c r="E18" s="281"/>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row>
    <row r="19" spans="1:30">
      <c r="A19" s="319" t="s">
        <v>429</v>
      </c>
      <c r="B19" s="281"/>
      <c r="C19" s="281"/>
      <c r="D19" s="281"/>
      <c r="E19" s="281"/>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row>
    <row r="20" spans="1:30" ht="15.75" customHeight="1">
      <c r="A20" s="284" t="s">
        <v>426</v>
      </c>
      <c r="B20" s="1388" t="s">
        <v>568</v>
      </c>
      <c r="C20" s="1388"/>
      <c r="D20" s="1388"/>
      <c r="E20" s="1388"/>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row>
    <row r="21" spans="1:30">
      <c r="A21" s="276"/>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row>
    <row r="22" spans="1:30">
      <c r="A22" s="276"/>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row>
    <row r="23" spans="1:30">
      <c r="A23" s="276"/>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row>
    <row r="24" spans="1:30">
      <c r="A24" s="276"/>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row>
    <row r="25" spans="1:30">
      <c r="A25" s="276"/>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row>
    <row r="26" spans="1:30">
      <c r="A26" s="276"/>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row>
    <row r="27" spans="1:30">
      <c r="A27" s="276"/>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30">
      <c r="A28" s="276"/>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row>
    <row r="29" spans="1:30">
      <c r="A29" s="276"/>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row>
    <row r="30" spans="1:30">
      <c r="A30" s="276"/>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row>
    <row r="31" spans="1:30">
      <c r="A31" s="276"/>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row>
    <row r="32" spans="1:30">
      <c r="A32" s="276"/>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row>
    <row r="33" spans="1:30">
      <c r="A33" s="276"/>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row>
    <row r="34" spans="1:30">
      <c r="A34" s="276"/>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row>
    <row r="35" spans="1:30">
      <c r="A35" s="276"/>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row>
    <row r="36" spans="1:30">
      <c r="A36" s="276"/>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row>
    <row r="37" spans="1:30">
      <c r="A37" s="276"/>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row>
    <row r="38" spans="1:30">
      <c r="A38" s="276"/>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row>
    <row r="39" spans="1:30">
      <c r="A39" s="276"/>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row>
    <row r="40" spans="1:30">
      <c r="A40" s="276"/>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row>
    <row r="41" spans="1:30">
      <c r="A41" s="276"/>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row>
    <row r="42" spans="1:30">
      <c r="A42" s="276"/>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row>
    <row r="43" spans="1:30">
      <c r="A43" s="276"/>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row>
    <row r="44" spans="1:30">
      <c r="A44" s="276"/>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row>
    <row r="45" spans="1:30">
      <c r="A45" s="276"/>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row>
    <row r="46" spans="1:30">
      <c r="A46" s="276"/>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row>
    <row r="47" spans="1:30">
      <c r="A47" s="276"/>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row>
    <row r="48" spans="1:30">
      <c r="A48" s="276"/>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row>
    <row r="49" spans="1:30">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row>
    <row r="50" spans="1:30">
      <c r="A50" s="276"/>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row>
    <row r="51" spans="1:30">
      <c r="A51" s="276"/>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row>
    <row r="52" spans="1:30">
      <c r="A52" s="276"/>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row>
    <row r="53" spans="1:30">
      <c r="A53" s="276"/>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row>
    <row r="54" spans="1:30">
      <c r="A54" s="276"/>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row>
    <row r="55" spans="1:30">
      <c r="A55" s="276"/>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row>
    <row r="56" spans="1:30">
      <c r="A56" s="276"/>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row>
    <row r="57" spans="1:30">
      <c r="A57" s="276"/>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row>
    <row r="58" spans="1:30">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row>
    <row r="59" spans="1:30">
      <c r="A59" s="276"/>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row>
    <row r="60" spans="1:30">
      <c r="A60" s="276"/>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row>
    <row r="61" spans="1:30">
      <c r="A61" s="276"/>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row>
    <row r="62" spans="1:30">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row>
    <row r="63" spans="1:30">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row>
    <row r="64" spans="1:30">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row>
    <row r="65" spans="1:30">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row>
    <row r="66" spans="1:30">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row>
    <row r="67" spans="1:30">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row>
    <row r="68" spans="1:30">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row>
    <row r="69" spans="1:30">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row>
    <row r="70" spans="1:30">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row>
    <row r="71" spans="1:30">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row>
    <row r="72" spans="1:30">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row>
    <row r="73" spans="1:30">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row>
    <row r="74" spans="1:30">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row>
    <row r="75" spans="1:30">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row>
    <row r="76" spans="1:30">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row>
    <row r="77" spans="1:30">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row>
    <row r="78" spans="1:30">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row>
    <row r="79" spans="1:30">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row>
    <row r="80" spans="1:30">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row>
    <row r="81" spans="1:30">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row>
    <row r="82" spans="1:30">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row>
    <row r="83" spans="1:30">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row>
    <row r="84" spans="1:30">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row>
    <row r="85" spans="1:30">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row>
    <row r="86" spans="1:30">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row>
    <row r="87" spans="1:30">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row>
    <row r="88" spans="1:30">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row>
    <row r="89" spans="1:30">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row>
    <row r="90" spans="1:30">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row>
    <row r="91" spans="1:30">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row>
    <row r="92" spans="1:30">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row>
    <row r="93" spans="1:30">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row>
    <row r="94" spans="1:30">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row>
    <row r="95" spans="1:30">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row>
    <row r="96" spans="1:30">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row>
    <row r="97" spans="1:30">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row>
    <row r="98" spans="1:30">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row>
    <row r="99" spans="1:30">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row>
    <row r="100" spans="1:30">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row>
    <row r="101" spans="1:30">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row>
    <row r="102" spans="1:30">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row>
    <row r="103" spans="1:30">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row>
    <row r="104" spans="1:30">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row>
    <row r="105" spans="1:30">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row>
    <row r="106" spans="1:30">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row>
    <row r="107" spans="1:30">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row>
    <row r="108" spans="1:30">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row>
    <row r="109" spans="1:30">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row>
    <row r="110" spans="1:30">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row>
    <row r="111" spans="1:30">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row>
    <row r="112" spans="1:30">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row>
    <row r="113" spans="1:30">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row>
    <row r="114" spans="1:30">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row>
    <row r="115" spans="1:30">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row>
    <row r="116" spans="1:30">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row>
    <row r="117" spans="1:30">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row>
    <row r="118" spans="1:30">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row>
    <row r="119" spans="1:30">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row>
    <row r="120" spans="1:30">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row>
    <row r="121" spans="1:30">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row>
    <row r="122" spans="1:30">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row>
    <row r="123" spans="1:30">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row>
    <row r="124" spans="1:30">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row>
    <row r="125" spans="1:30">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row>
    <row r="126" spans="1:30">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row>
    <row r="127" spans="1:30">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row>
    <row r="128" spans="1:30">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row>
    <row r="129" spans="1:30">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row>
    <row r="130" spans="1:30">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row>
    <row r="131" spans="1:30">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row>
    <row r="132" spans="1:30">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row>
    <row r="133" spans="1:30">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row>
    <row r="134" spans="1:30">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row>
    <row r="135" spans="1:30">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row>
    <row r="136" spans="1:30">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row>
    <row r="137" spans="1:30">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row>
    <row r="138" spans="1:30">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row>
    <row r="139" spans="1:30">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row>
    <row r="140" spans="1:30">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row>
    <row r="141" spans="1:30">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row>
    <row r="142" spans="1:30">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row>
    <row r="143" spans="1:30">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row>
    <row r="144" spans="1:30">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row>
    <row r="145" spans="1:30">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row>
    <row r="146" spans="1:30">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row>
    <row r="147" spans="1:30">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row>
    <row r="148" spans="1:30">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row>
    <row r="149" spans="1:30">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row>
    <row r="150" spans="1:30">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row>
    <row r="151" spans="1:30">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row>
    <row r="152" spans="1:30">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row>
    <row r="153" spans="1:30">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row>
    <row r="154" spans="1:30">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row>
    <row r="155" spans="1:30">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row>
    <row r="156" spans="1:30">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row>
    <row r="157" spans="1:30">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row>
    <row r="158" spans="1:30">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row>
    <row r="159" spans="1:30">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row>
    <row r="160" spans="1:30">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row>
    <row r="161" spans="1:30">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row>
    <row r="162" spans="1:30">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row>
    <row r="163" spans="1:30">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row>
    <row r="164" spans="1:30">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row>
    <row r="165" spans="1:30">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row>
    <row r="166" spans="1:30">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row>
    <row r="167" spans="1:30">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row>
    <row r="168" spans="1:30">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row>
    <row r="169" spans="1:30">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76"/>
    </row>
    <row r="170" spans="1:30">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76"/>
    </row>
    <row r="171" spans="1:30">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row>
    <row r="172" spans="1:30">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row>
    <row r="173" spans="1:30">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row>
    <row r="174" spans="1:30">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76"/>
    </row>
    <row r="175" spans="1:30">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row>
    <row r="176" spans="1:30">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row>
    <row r="177" spans="1:30">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row>
    <row r="178" spans="1:30">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row>
    <row r="179" spans="1:30">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row>
    <row r="180" spans="1:30">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row>
    <row r="181" spans="1:30">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row>
    <row r="182" spans="1:30">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row>
    <row r="183" spans="1:30">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76"/>
    </row>
    <row r="184" spans="1:30">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row>
    <row r="185" spans="1:30">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row>
    <row r="186" spans="1:30">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row>
    <row r="187" spans="1:30">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row>
    <row r="188" spans="1:30">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row>
    <row r="189" spans="1:30">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row>
    <row r="190" spans="1:30">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row>
    <row r="191" spans="1:30">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76"/>
    </row>
    <row r="192" spans="1:30">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76"/>
    </row>
    <row r="193" spans="1:30">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76"/>
    </row>
    <row r="194" spans="1:30">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76"/>
    </row>
    <row r="195" spans="1:30">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76"/>
    </row>
    <row r="196" spans="1:30">
      <c r="A196" s="276"/>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row>
    <row r="197" spans="1:30">
      <c r="A197" s="276"/>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row>
    <row r="198" spans="1:30">
      <c r="A198" s="276"/>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76"/>
    </row>
    <row r="199" spans="1:30">
      <c r="A199" s="276"/>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row>
    <row r="200" spans="1:30">
      <c r="A200" s="276"/>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76"/>
    </row>
    <row r="201" spans="1:30">
      <c r="A201" s="276"/>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76"/>
    </row>
  </sheetData>
  <sheetProtection sheet="1"/>
  <mergeCells count="8">
    <mergeCell ref="B20:E20"/>
    <mergeCell ref="A6:E6"/>
    <mergeCell ref="A9:E9"/>
    <mergeCell ref="A17:E17"/>
    <mergeCell ref="B11:E11"/>
    <mergeCell ref="B14:E14"/>
    <mergeCell ref="B12:E12"/>
    <mergeCell ref="B13:E13"/>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dimension ref="A1:AD199"/>
  <sheetViews>
    <sheetView zoomScale="80" zoomScaleNormal="80" workbookViewId="0"/>
  </sheetViews>
  <sheetFormatPr defaultColWidth="9.140625" defaultRowHeight="12.75"/>
  <cols>
    <col min="1" max="1" width="9.85546875" style="275" customWidth="1"/>
    <col min="2" max="2" width="33.85546875" style="275" customWidth="1"/>
    <col min="3" max="3" width="28.85546875" style="275" customWidth="1"/>
    <col min="4" max="5" width="15.85546875" style="275" customWidth="1"/>
    <col min="6" max="7" width="6.140625" style="275" customWidth="1"/>
    <col min="8" max="16384" width="9.140625" style="275"/>
  </cols>
  <sheetData>
    <row r="1" spans="1:30" ht="24.95" customHeight="1">
      <c r="A1" s="276"/>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row>
    <row r="2" spans="1:30" ht="24.95" customHeight="1">
      <c r="A2" s="276"/>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row>
    <row r="3" spans="1:30" ht="15">
      <c r="A3" s="182" t="s">
        <v>819</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row>
    <row r="4" spans="1:30">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row>
    <row r="5" spans="1:30">
      <c r="A5" s="316" t="s">
        <v>420</v>
      </c>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row>
    <row r="6" spans="1:30" ht="67.5" customHeight="1">
      <c r="A6" s="1395" t="s">
        <v>675</v>
      </c>
      <c r="B6" s="1395"/>
      <c r="C6" s="1395"/>
      <c r="D6" s="1395"/>
      <c r="E6" s="1395"/>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row>
    <row r="7" spans="1:30">
      <c r="A7" s="281"/>
      <c r="B7" s="281"/>
      <c r="C7" s="281"/>
      <c r="D7" s="281"/>
      <c r="E7" s="281"/>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row>
    <row r="8" spans="1:30">
      <c r="A8" s="317" t="s">
        <v>422</v>
      </c>
      <c r="B8" s="281"/>
      <c r="C8" s="281"/>
      <c r="D8" s="281"/>
      <c r="E8" s="281"/>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row>
    <row r="9" spans="1:30" ht="44.25" customHeight="1">
      <c r="A9" s="1395" t="s">
        <v>794</v>
      </c>
      <c r="B9" s="1395"/>
      <c r="C9" s="1395"/>
      <c r="D9" s="1395"/>
      <c r="E9" s="1395"/>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row>
    <row r="10" spans="1:30">
      <c r="A10" s="314"/>
      <c r="B10" s="320"/>
      <c r="C10" s="314"/>
      <c r="D10" s="314"/>
      <c r="E10" s="314"/>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row>
    <row r="11" spans="1:30" ht="17.25" customHeight="1">
      <c r="A11" s="318" t="s">
        <v>528</v>
      </c>
      <c r="B11" s="276"/>
      <c r="C11" s="276"/>
      <c r="D11" s="276"/>
      <c r="E11" s="276"/>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row>
    <row r="12" spans="1:30">
      <c r="A12" s="284" t="s">
        <v>426</v>
      </c>
      <c r="B12" s="1388" t="s">
        <v>529</v>
      </c>
      <c r="C12" s="1388"/>
      <c r="D12" s="1388"/>
      <c r="E12" s="1388"/>
      <c r="F12" s="276"/>
      <c r="G12" s="276"/>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row>
    <row r="13" spans="1:30" ht="12.75" customHeight="1">
      <c r="A13" s="284" t="s">
        <v>426</v>
      </c>
      <c r="B13" s="1388" t="s">
        <v>530</v>
      </c>
      <c r="C13" s="1388"/>
      <c r="D13" s="1388"/>
      <c r="E13" s="1388"/>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row>
    <row r="14" spans="1:30">
      <c r="A14" s="284" t="s">
        <v>426</v>
      </c>
      <c r="B14" s="1388" t="s">
        <v>531</v>
      </c>
      <c r="C14" s="1388"/>
      <c r="D14" s="1388"/>
      <c r="E14" s="1388"/>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row>
    <row r="15" spans="1:30">
      <c r="A15" s="281"/>
      <c r="B15" s="281"/>
      <c r="C15" s="281"/>
      <c r="D15" s="281"/>
      <c r="E15" s="281"/>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row>
    <row r="16" spans="1:30">
      <c r="A16" s="319" t="s">
        <v>423</v>
      </c>
      <c r="B16" s="281"/>
      <c r="C16" s="281"/>
      <c r="D16" s="281"/>
      <c r="E16" s="281"/>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row>
    <row r="17" spans="1:30" ht="31.5" customHeight="1">
      <c r="A17" s="1395" t="s">
        <v>716</v>
      </c>
      <c r="B17" s="1395"/>
      <c r="C17" s="1395"/>
      <c r="D17" s="1395"/>
      <c r="E17" s="1395"/>
      <c r="F17" s="276"/>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row>
    <row r="18" spans="1:30">
      <c r="A18" s="314"/>
      <c r="B18" s="314"/>
      <c r="C18" s="314"/>
      <c r="D18" s="314"/>
      <c r="E18" s="314"/>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row>
    <row r="19" spans="1:30">
      <c r="A19" s="319" t="s">
        <v>429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row>
    <row r="20" spans="1:30" ht="29.25" customHeight="1">
      <c r="A20" s="284" t="s">
        <v>426</v>
      </c>
      <c r="B20" s="1388" t="s">
        <v>601</v>
      </c>
      <c r="C20" s="1388"/>
      <c r="D20" s="1388"/>
      <c r="E20" s="1388"/>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row>
    <row r="21" spans="1:30">
      <c r="A21" s="281"/>
      <c r="B21" s="281"/>
      <c r="C21" s="281"/>
      <c r="D21" s="281"/>
      <c r="E21" s="281"/>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row>
    <row r="22" spans="1:30">
      <c r="A22" s="276"/>
      <c r="B22" s="162"/>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row>
    <row r="23" spans="1:30">
      <c r="A23" s="276"/>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row>
    <row r="24" spans="1:30">
      <c r="A24" s="276"/>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row>
    <row r="25" spans="1:30">
      <c r="A25" s="276"/>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row>
    <row r="26" spans="1:30">
      <c r="A26" s="276"/>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row>
    <row r="27" spans="1:30">
      <c r="A27" s="276"/>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30">
      <c r="A28" s="276"/>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row>
    <row r="29" spans="1:30">
      <c r="A29" s="276"/>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row>
    <row r="30" spans="1:30">
      <c r="A30" s="276"/>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row>
    <row r="31" spans="1:30">
      <c r="A31" s="276"/>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row>
    <row r="32" spans="1:30">
      <c r="A32" s="276"/>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row>
    <row r="33" spans="1:30">
      <c r="A33" s="276"/>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row>
    <row r="34" spans="1:30">
      <c r="A34" s="276"/>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row>
    <row r="35" spans="1:30">
      <c r="A35" s="276"/>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row>
    <row r="36" spans="1:30">
      <c r="A36" s="276"/>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row>
    <row r="37" spans="1:30">
      <c r="A37" s="276"/>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row>
    <row r="38" spans="1:30">
      <c r="A38" s="276"/>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row>
    <row r="39" spans="1:30">
      <c r="A39" s="276"/>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row>
    <row r="40" spans="1:30">
      <c r="A40" s="276"/>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row>
    <row r="41" spans="1:30">
      <c r="A41" s="276"/>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row>
    <row r="42" spans="1:30">
      <c r="A42" s="276"/>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row>
    <row r="43" spans="1:30">
      <c r="A43" s="276"/>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row>
    <row r="44" spans="1:30">
      <c r="A44" s="276"/>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row>
    <row r="45" spans="1:30">
      <c r="A45" s="276"/>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row>
    <row r="46" spans="1:30">
      <c r="A46" s="276"/>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row>
    <row r="47" spans="1:30">
      <c r="A47" s="276"/>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row>
    <row r="48" spans="1:30">
      <c r="A48" s="276"/>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row>
    <row r="49" spans="1:30">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row>
    <row r="50" spans="1:30">
      <c r="A50" s="276"/>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row>
    <row r="51" spans="1:30">
      <c r="A51" s="276"/>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row>
    <row r="52" spans="1:30">
      <c r="A52" s="276"/>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row>
    <row r="53" spans="1:30">
      <c r="A53" s="276"/>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row>
    <row r="54" spans="1:30">
      <c r="A54" s="276"/>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row>
    <row r="55" spans="1:30">
      <c r="A55" s="276"/>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row>
    <row r="56" spans="1:30">
      <c r="A56" s="276"/>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row>
    <row r="57" spans="1:30">
      <c r="A57" s="276"/>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row>
    <row r="58" spans="1:30">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row>
    <row r="59" spans="1:30">
      <c r="A59" s="276"/>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row>
    <row r="60" spans="1:30">
      <c r="A60" s="276"/>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row>
    <row r="61" spans="1:30">
      <c r="A61" s="276"/>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row>
    <row r="62" spans="1:30">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row>
    <row r="63" spans="1:30">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row>
    <row r="64" spans="1:30">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row>
    <row r="65" spans="1:30">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row>
    <row r="66" spans="1:30">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row>
    <row r="67" spans="1:30">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row>
    <row r="68" spans="1:30">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row>
    <row r="69" spans="1:30">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row>
    <row r="70" spans="1:30">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row>
    <row r="71" spans="1:30">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row>
    <row r="72" spans="1:30">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row>
    <row r="73" spans="1:30">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row>
    <row r="74" spans="1:30">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row>
    <row r="75" spans="1:30">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row>
    <row r="76" spans="1:30">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row>
    <row r="77" spans="1:30">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row>
    <row r="78" spans="1:30">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row>
    <row r="79" spans="1:30">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row>
    <row r="80" spans="1:30">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row>
    <row r="81" spans="1:30">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row>
    <row r="82" spans="1:30">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row>
    <row r="83" spans="1:30">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row>
    <row r="84" spans="1:30">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row>
    <row r="85" spans="1:30">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row>
    <row r="86" spans="1:30">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row>
    <row r="87" spans="1:30">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row>
    <row r="88" spans="1:30">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row>
    <row r="89" spans="1:30">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row>
    <row r="90" spans="1:30">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row>
    <row r="91" spans="1:30">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row>
    <row r="92" spans="1:30">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row>
    <row r="93" spans="1:30">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row>
    <row r="94" spans="1:30">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row>
    <row r="95" spans="1:30">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row>
    <row r="96" spans="1:30">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row>
    <row r="97" spans="1:30">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row>
    <row r="98" spans="1:30">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row>
    <row r="99" spans="1:30">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row>
    <row r="100" spans="1:30">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row>
    <row r="101" spans="1:30">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row>
    <row r="102" spans="1:30">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row>
    <row r="103" spans="1:30">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row>
    <row r="104" spans="1:30">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row>
    <row r="105" spans="1:30">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row>
    <row r="106" spans="1:30">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row>
    <row r="107" spans="1:30">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row>
    <row r="108" spans="1:30">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row>
    <row r="109" spans="1:30">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row>
    <row r="110" spans="1:30">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row>
    <row r="111" spans="1:30">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row>
    <row r="112" spans="1:30">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row>
    <row r="113" spans="1:30">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row>
    <row r="114" spans="1:30">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row>
    <row r="115" spans="1:30">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row>
    <row r="116" spans="1:30">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row>
    <row r="117" spans="1:30">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row>
    <row r="118" spans="1:30">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row>
    <row r="119" spans="1:30">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row>
    <row r="120" spans="1:30">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row>
    <row r="121" spans="1:30">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row>
    <row r="122" spans="1:30">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row>
    <row r="123" spans="1:30">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row>
    <row r="124" spans="1:30">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row>
    <row r="125" spans="1:30">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row>
    <row r="126" spans="1:30">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row>
    <row r="127" spans="1:30">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row>
    <row r="128" spans="1:30">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row>
    <row r="129" spans="1:30">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row>
    <row r="130" spans="1:30">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row>
    <row r="131" spans="1:30">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row>
    <row r="132" spans="1:30">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row>
    <row r="133" spans="1:30">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row>
    <row r="134" spans="1:30">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row>
    <row r="135" spans="1:30">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row>
    <row r="136" spans="1:30">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row>
    <row r="137" spans="1:30">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row>
    <row r="138" spans="1:30">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row>
    <row r="139" spans="1:30">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row>
    <row r="140" spans="1:30">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row>
    <row r="141" spans="1:30">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row>
    <row r="142" spans="1:30">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row>
    <row r="143" spans="1:30">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row>
    <row r="144" spans="1:30">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row>
    <row r="145" spans="1:30">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row>
    <row r="146" spans="1:30">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row>
    <row r="147" spans="1:30">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row>
    <row r="148" spans="1:30">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row>
    <row r="149" spans="1:30">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row>
    <row r="150" spans="1:30">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row>
    <row r="151" spans="1:30">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row>
    <row r="152" spans="1:30">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row>
    <row r="153" spans="1:30">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row>
    <row r="154" spans="1:30">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row>
    <row r="155" spans="1:30">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row>
    <row r="156" spans="1:30">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row>
    <row r="157" spans="1:30">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row>
    <row r="158" spans="1:30">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row>
    <row r="159" spans="1:30">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row>
    <row r="160" spans="1:30">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row>
    <row r="161" spans="1:30">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row>
    <row r="162" spans="1:30">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row>
    <row r="163" spans="1:30">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row>
    <row r="164" spans="1:30">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row>
    <row r="165" spans="1:30">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row>
    <row r="166" spans="1:30">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row>
    <row r="167" spans="1:30">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row>
    <row r="168" spans="1:30">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row>
    <row r="169" spans="1:30">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76"/>
    </row>
    <row r="170" spans="1:30">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76"/>
    </row>
    <row r="171" spans="1:30">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row>
    <row r="172" spans="1:30">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row>
    <row r="173" spans="1:30">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row>
    <row r="174" spans="1:30">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76"/>
    </row>
    <row r="175" spans="1:30">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row>
    <row r="176" spans="1:30">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row>
    <row r="177" spans="1:30">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row>
    <row r="178" spans="1:30">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row>
    <row r="179" spans="1:30">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row>
    <row r="180" spans="1:30">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row>
    <row r="181" spans="1:30">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row>
    <row r="182" spans="1:30">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row>
    <row r="183" spans="1:30">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76"/>
    </row>
    <row r="184" spans="1:30">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row>
    <row r="185" spans="1:30">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row>
    <row r="186" spans="1:30">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row>
    <row r="187" spans="1:30">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row>
    <row r="188" spans="1:30">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row>
    <row r="189" spans="1:30">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row>
    <row r="190" spans="1:30">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row>
    <row r="191" spans="1:30">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76"/>
    </row>
    <row r="192" spans="1:30">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76"/>
    </row>
    <row r="193" spans="1:30">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76"/>
    </row>
    <row r="194" spans="1:30">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76"/>
    </row>
    <row r="195" spans="1:30">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76"/>
    </row>
    <row r="196" spans="1:30">
      <c r="A196" s="276"/>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row>
    <row r="197" spans="1:30">
      <c r="A197" s="276"/>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row>
    <row r="198" spans="1:30">
      <c r="A198" s="276"/>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76"/>
    </row>
    <row r="199" spans="1:30">
      <c r="A199" s="276"/>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row>
  </sheetData>
  <sheetProtection sheet="1"/>
  <mergeCells count="7">
    <mergeCell ref="B20:E20"/>
    <mergeCell ref="A6:E6"/>
    <mergeCell ref="A9:E9"/>
    <mergeCell ref="A17:E17"/>
    <mergeCell ref="B12:E12"/>
    <mergeCell ref="B13:E13"/>
    <mergeCell ref="B14:E14"/>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AD188"/>
  <sheetViews>
    <sheetView zoomScale="80" zoomScaleNormal="80" workbookViewId="0"/>
  </sheetViews>
  <sheetFormatPr defaultColWidth="9.140625" defaultRowHeight="12.75"/>
  <cols>
    <col min="1" max="1" width="9.85546875" style="275" customWidth="1"/>
    <col min="2" max="2" width="33.85546875" style="275" customWidth="1"/>
    <col min="3" max="6" width="15.42578125" style="275" customWidth="1"/>
    <col min="7" max="7" width="6.140625" style="275" customWidth="1"/>
    <col min="8" max="16384" width="9.140625" style="275"/>
  </cols>
  <sheetData>
    <row r="1" spans="1:30" ht="24.95" customHeight="1">
      <c r="A1" s="276"/>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row>
    <row r="2" spans="1:30" ht="24.95" customHeight="1">
      <c r="A2" s="276"/>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row>
    <row r="3" spans="1:30" ht="15">
      <c r="A3" s="292" t="s">
        <v>814</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row>
    <row r="4" spans="1:30">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row>
    <row r="5" spans="1:30">
      <c r="A5" s="316" t="s">
        <v>420</v>
      </c>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row>
    <row r="6" spans="1:30" ht="118.5" customHeight="1">
      <c r="A6" s="1395" t="s">
        <v>987</v>
      </c>
      <c r="B6" s="1395"/>
      <c r="C6" s="1395"/>
      <c r="D6" s="1395"/>
      <c r="E6" s="1395"/>
      <c r="F6" s="1395"/>
      <c r="G6" s="276"/>
      <c r="H6" s="276"/>
      <c r="I6" s="276"/>
      <c r="J6" s="276"/>
      <c r="K6" s="276"/>
      <c r="L6" s="276"/>
      <c r="M6" s="276"/>
      <c r="N6" s="276"/>
      <c r="O6" s="276"/>
      <c r="P6" s="276"/>
      <c r="Q6" s="276"/>
      <c r="R6" s="276"/>
      <c r="S6" s="276"/>
      <c r="T6" s="276"/>
      <c r="U6" s="276"/>
      <c r="V6" s="276"/>
      <c r="W6" s="276"/>
      <c r="X6" s="276"/>
      <c r="Y6" s="276"/>
      <c r="Z6" s="276"/>
      <c r="AA6" s="276"/>
      <c r="AB6" s="276"/>
      <c r="AC6" s="276"/>
      <c r="AD6" s="276"/>
    </row>
    <row r="7" spans="1:30">
      <c r="A7" s="281"/>
      <c r="B7" s="281"/>
      <c r="C7" s="281"/>
      <c r="D7" s="281"/>
      <c r="E7" s="281"/>
      <c r="F7" s="281"/>
      <c r="G7" s="276"/>
      <c r="H7" s="276"/>
      <c r="I7" s="276"/>
      <c r="J7" s="276"/>
      <c r="K7" s="276"/>
      <c r="L7" s="276"/>
      <c r="M7" s="276"/>
      <c r="N7" s="276"/>
      <c r="O7" s="276"/>
      <c r="P7" s="276"/>
      <c r="Q7" s="276"/>
      <c r="R7" s="276"/>
      <c r="S7" s="276"/>
      <c r="T7" s="276"/>
      <c r="U7" s="276"/>
      <c r="V7" s="276"/>
      <c r="W7" s="276"/>
      <c r="X7" s="276"/>
      <c r="Y7" s="276"/>
      <c r="Z7" s="276"/>
      <c r="AA7" s="276"/>
      <c r="AB7" s="276"/>
      <c r="AC7" s="276"/>
      <c r="AD7" s="276"/>
    </row>
    <row r="8" spans="1:30">
      <c r="A8" s="317" t="s">
        <v>422</v>
      </c>
      <c r="B8" s="281"/>
      <c r="C8" s="281"/>
      <c r="D8" s="281"/>
      <c r="E8" s="281"/>
      <c r="F8" s="281"/>
      <c r="G8" s="276"/>
      <c r="H8" s="276"/>
      <c r="I8" s="276"/>
      <c r="J8" s="276"/>
      <c r="K8" s="276"/>
      <c r="L8" s="276"/>
      <c r="M8" s="276"/>
      <c r="N8" s="276"/>
      <c r="O8" s="276"/>
      <c r="P8" s="276"/>
      <c r="Q8" s="276"/>
      <c r="R8" s="276"/>
      <c r="S8" s="276"/>
      <c r="T8" s="276"/>
      <c r="U8" s="276"/>
      <c r="V8" s="276"/>
      <c r="W8" s="276"/>
      <c r="X8" s="276"/>
      <c r="Y8" s="276"/>
      <c r="Z8" s="276"/>
      <c r="AA8" s="276"/>
      <c r="AB8" s="276"/>
      <c r="AC8" s="276"/>
      <c r="AD8" s="276"/>
    </row>
    <row r="9" spans="1:30" ht="91.5" customHeight="1">
      <c r="A9" s="1398" t="s">
        <v>1186</v>
      </c>
      <c r="B9" s="1395"/>
      <c r="C9" s="1395"/>
      <c r="D9" s="1395"/>
      <c r="E9" s="1395"/>
      <c r="F9" s="1395"/>
      <c r="G9" s="276"/>
      <c r="H9" s="276"/>
      <c r="I9" s="276"/>
      <c r="J9" s="276"/>
      <c r="K9" s="276"/>
      <c r="L9" s="276"/>
      <c r="M9" s="276"/>
      <c r="N9" s="276"/>
      <c r="O9" s="276"/>
      <c r="P9" s="276"/>
      <c r="Q9" s="276"/>
      <c r="R9" s="276"/>
      <c r="S9" s="276"/>
      <c r="T9" s="276"/>
      <c r="U9" s="276"/>
      <c r="V9" s="276"/>
      <c r="W9" s="276"/>
      <c r="X9" s="276"/>
      <c r="Y9" s="276"/>
      <c r="Z9" s="276"/>
      <c r="AA9" s="276"/>
      <c r="AB9" s="276"/>
      <c r="AC9" s="276"/>
      <c r="AD9" s="276"/>
    </row>
    <row r="10" spans="1:30" ht="17.25" customHeight="1">
      <c r="A10" s="318" t="s">
        <v>432</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row>
    <row r="11" spans="1:30" ht="16.5" customHeight="1">
      <c r="A11" s="284" t="s">
        <v>426</v>
      </c>
      <c r="B11" s="1388" t="s">
        <v>533</v>
      </c>
      <c r="C11" s="1388"/>
      <c r="D11" s="1388"/>
      <c r="E11" s="1388"/>
      <c r="F11" s="1388"/>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row>
    <row r="12" spans="1:30" ht="16.5" customHeight="1">
      <c r="A12" s="284" t="s">
        <v>426</v>
      </c>
      <c r="B12" s="1388" t="s">
        <v>823</v>
      </c>
      <c r="C12" s="1388"/>
      <c r="D12" s="1388"/>
      <c r="E12" s="1388"/>
      <c r="F12" s="1388"/>
      <c r="G12" s="276"/>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row>
    <row r="13" spans="1:30" ht="16.5" customHeight="1">
      <c r="A13" s="284" t="s">
        <v>426</v>
      </c>
      <c r="B13" s="1388" t="s">
        <v>824</v>
      </c>
      <c r="C13" s="1388"/>
      <c r="D13" s="1388"/>
      <c r="E13" s="1388"/>
      <c r="F13" s="1388"/>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row>
    <row r="14" spans="1:30">
      <c r="A14" s="281"/>
      <c r="B14" s="281"/>
      <c r="C14" s="281"/>
      <c r="D14" s="281"/>
      <c r="E14" s="281"/>
      <c r="F14" s="281"/>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row>
    <row r="15" spans="1:30">
      <c r="A15" s="319" t="s">
        <v>423</v>
      </c>
      <c r="B15" s="281"/>
      <c r="C15" s="281"/>
      <c r="D15" s="281"/>
      <c r="E15" s="281"/>
      <c r="F15" s="281"/>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row>
    <row r="16" spans="1:30" ht="26.25" customHeight="1">
      <c r="A16" s="1395" t="s">
        <v>825</v>
      </c>
      <c r="B16" s="1395"/>
      <c r="C16" s="1395"/>
      <c r="D16" s="1395"/>
      <c r="E16" s="1395"/>
      <c r="F16" s="1395"/>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row>
    <row r="17" spans="1:30" ht="47.25" customHeight="1">
      <c r="A17" s="1395" t="s">
        <v>939</v>
      </c>
      <c r="B17" s="1395"/>
      <c r="C17" s="1395"/>
      <c r="D17" s="1395"/>
      <c r="E17" s="1395"/>
      <c r="F17" s="1395"/>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row>
    <row r="18" spans="1:30" ht="60" customHeight="1">
      <c r="A18" s="1395" t="s">
        <v>985</v>
      </c>
      <c r="B18" s="1395"/>
      <c r="C18" s="1395"/>
      <c r="D18" s="1395"/>
      <c r="E18" s="1395"/>
      <c r="F18" s="1395"/>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row>
    <row r="19" spans="1:30">
      <c r="A19" s="318"/>
      <c r="B19" s="314"/>
      <c r="C19" s="314"/>
      <c r="D19" s="314"/>
      <c r="E19" s="314"/>
      <c r="F19" s="314"/>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row>
    <row r="20" spans="1:30">
      <c r="A20" s="314"/>
      <c r="B20" s="314"/>
      <c r="C20" s="314"/>
      <c r="D20" s="314"/>
      <c r="E20" s="314"/>
      <c r="F20" s="314"/>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row>
    <row r="21" spans="1:30">
      <c r="A21" s="319" t="s">
        <v>429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row>
    <row r="22" spans="1:30" ht="42" customHeight="1">
      <c r="A22" s="284" t="s">
        <v>426</v>
      </c>
      <c r="B22" s="1388" t="s">
        <v>1004</v>
      </c>
      <c r="C22" s="1388"/>
      <c r="D22" s="1388"/>
      <c r="E22" s="1388"/>
      <c r="F22" s="1388"/>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row>
    <row r="23" spans="1:30" ht="29.25" customHeight="1">
      <c r="A23" s="284" t="s">
        <v>426</v>
      </c>
      <c r="B23" s="1388" t="s">
        <v>427</v>
      </c>
      <c r="C23" s="1388"/>
      <c r="D23" s="1388"/>
      <c r="E23" s="1388"/>
      <c r="F23" s="1388"/>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row>
    <row r="24" spans="1:30" ht="27.75" customHeight="1">
      <c r="A24" s="284" t="s">
        <v>426</v>
      </c>
      <c r="B24" s="1388" t="s">
        <v>587</v>
      </c>
      <c r="C24" s="1388"/>
      <c r="D24" s="1388"/>
      <c r="E24" s="1388"/>
      <c r="F24" s="1388"/>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row>
    <row r="25" spans="1:30" ht="58.5" customHeight="1">
      <c r="A25" s="284" t="s">
        <v>426</v>
      </c>
      <c r="B25" s="1388" t="s">
        <v>934</v>
      </c>
      <c r="C25" s="1388"/>
      <c r="D25" s="1388"/>
      <c r="E25" s="1388"/>
      <c r="F25" s="1388"/>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row>
    <row r="26" spans="1:30" ht="13.5" thickBot="1">
      <c r="A26" s="284"/>
      <c r="B26" s="276"/>
      <c r="C26" s="287"/>
      <c r="D26" s="287"/>
      <c r="E26" s="287"/>
      <c r="F26" s="287"/>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row>
    <row r="27" spans="1:30" ht="12.75" customHeight="1" thickBot="1">
      <c r="A27" s="284"/>
      <c r="B27" s="316" t="s">
        <v>519</v>
      </c>
      <c r="C27" s="1401" t="s">
        <v>562</v>
      </c>
      <c r="D27" s="1402"/>
      <c r="E27" s="1402"/>
      <c r="F27" s="1403"/>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30" ht="12.75" customHeight="1" thickBot="1">
      <c r="A28" s="284"/>
      <c r="B28" s="431" t="s">
        <v>862</v>
      </c>
      <c r="C28" s="432" t="s">
        <v>526</v>
      </c>
      <c r="D28" s="433" t="s">
        <v>514</v>
      </c>
      <c r="E28" s="433" t="s">
        <v>515</v>
      </c>
      <c r="F28" s="434" t="s">
        <v>516</v>
      </c>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row>
    <row r="29" spans="1:30" ht="12.75" customHeight="1">
      <c r="A29" s="284"/>
      <c r="B29" s="303" t="s">
        <v>845</v>
      </c>
      <c r="C29" s="927">
        <v>7.9</v>
      </c>
      <c r="D29" s="927">
        <v>8.1</v>
      </c>
      <c r="E29" s="927">
        <v>11.4</v>
      </c>
      <c r="F29" s="928">
        <v>9</v>
      </c>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row>
    <row r="30" spans="1:30" ht="12.75" customHeight="1">
      <c r="A30" s="281"/>
      <c r="B30" s="354" t="s">
        <v>846</v>
      </c>
      <c r="C30" s="929" t="s">
        <v>1301</v>
      </c>
      <c r="D30" s="930">
        <v>67.3</v>
      </c>
      <c r="E30" s="930">
        <v>53.7</v>
      </c>
      <c r="F30" s="931" t="s">
        <v>1301</v>
      </c>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row>
    <row r="31" spans="1:30" ht="12.75" customHeight="1">
      <c r="A31" s="284"/>
      <c r="B31" s="354" t="s">
        <v>847</v>
      </c>
      <c r="C31" s="930">
        <v>29.7</v>
      </c>
      <c r="D31" s="930">
        <v>43</v>
      </c>
      <c r="E31" s="930">
        <v>52.7</v>
      </c>
      <c r="F31" s="932">
        <v>36.9</v>
      </c>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row>
    <row r="32" spans="1:30">
      <c r="A32" s="276"/>
      <c r="B32" s="354" t="s">
        <v>848</v>
      </c>
      <c r="C32" s="930">
        <v>19</v>
      </c>
      <c r="D32" s="930">
        <v>25</v>
      </c>
      <c r="E32" s="930">
        <v>27.3</v>
      </c>
      <c r="F32" s="932">
        <v>22.2</v>
      </c>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row>
    <row r="33" spans="1:30">
      <c r="A33" s="276"/>
      <c r="B33" s="926" t="s">
        <v>849</v>
      </c>
      <c r="C33" s="930">
        <v>22.4</v>
      </c>
      <c r="D33" s="930">
        <v>28.3</v>
      </c>
      <c r="E33" s="930">
        <v>32.200000000000003</v>
      </c>
      <c r="F33" s="932">
        <v>29.5</v>
      </c>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row>
    <row r="34" spans="1:30">
      <c r="A34" s="276"/>
      <c r="B34" s="926" t="s">
        <v>850</v>
      </c>
      <c r="C34" s="930">
        <v>15.9</v>
      </c>
      <c r="D34" s="930">
        <v>18.600000000000001</v>
      </c>
      <c r="E34" s="930">
        <v>19.600000000000001</v>
      </c>
      <c r="F34" s="932">
        <v>15.9</v>
      </c>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row>
    <row r="35" spans="1:30">
      <c r="A35" s="276"/>
      <c r="B35" s="354" t="s">
        <v>851</v>
      </c>
      <c r="C35" s="930">
        <v>13.7</v>
      </c>
      <c r="D35" s="930">
        <v>14.8</v>
      </c>
      <c r="E35" s="930">
        <v>15.2</v>
      </c>
      <c r="F35" s="932">
        <v>13.2</v>
      </c>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row>
    <row r="36" spans="1:30">
      <c r="A36" s="276"/>
      <c r="B36" s="354" t="s">
        <v>852</v>
      </c>
      <c r="C36" s="930">
        <v>15.1</v>
      </c>
      <c r="D36" s="930">
        <v>15.4</v>
      </c>
      <c r="E36" s="930">
        <v>17.8</v>
      </c>
      <c r="F36" s="932">
        <v>17.2</v>
      </c>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row>
    <row r="37" spans="1:30">
      <c r="A37" s="276"/>
      <c r="B37" s="926" t="s">
        <v>853</v>
      </c>
      <c r="C37" s="930">
        <v>11.3</v>
      </c>
      <c r="D37" s="930">
        <v>12.7</v>
      </c>
      <c r="E37" s="930">
        <v>15.3</v>
      </c>
      <c r="F37" s="932">
        <v>13</v>
      </c>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row>
    <row r="38" spans="1:30">
      <c r="A38" s="276"/>
      <c r="B38" s="926" t="s">
        <v>854</v>
      </c>
      <c r="C38" s="930">
        <v>17.899999999999999</v>
      </c>
      <c r="D38" s="930">
        <v>18.899999999999999</v>
      </c>
      <c r="E38" s="930">
        <v>20.2</v>
      </c>
      <c r="F38" s="932">
        <v>20.100000000000001</v>
      </c>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row>
    <row r="39" spans="1:30">
      <c r="A39" s="276"/>
      <c r="B39" s="354" t="s">
        <v>248</v>
      </c>
      <c r="C39" s="930">
        <v>13.8</v>
      </c>
      <c r="D39" s="930">
        <v>12</v>
      </c>
      <c r="E39" s="930">
        <v>15.4</v>
      </c>
      <c r="F39" s="932">
        <v>12.5</v>
      </c>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row>
    <row r="40" spans="1:30">
      <c r="A40" s="276"/>
      <c r="B40" s="354" t="s">
        <v>855</v>
      </c>
      <c r="C40" s="930">
        <v>9.6</v>
      </c>
      <c r="D40" s="930">
        <v>11.6</v>
      </c>
      <c r="E40" s="930">
        <v>15.1</v>
      </c>
      <c r="F40" s="932">
        <v>9.4</v>
      </c>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row>
    <row r="41" spans="1:30">
      <c r="A41" s="276"/>
      <c r="B41" s="354" t="s">
        <v>856</v>
      </c>
      <c r="C41" s="929" t="s">
        <v>1301</v>
      </c>
      <c r="D41" s="929" t="s">
        <v>1301</v>
      </c>
      <c r="E41" s="930">
        <v>16.7</v>
      </c>
      <c r="F41" s="932">
        <v>11.6</v>
      </c>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row>
    <row r="42" spans="1:30">
      <c r="A42" s="276"/>
      <c r="B42" s="354" t="s">
        <v>857</v>
      </c>
      <c r="C42" s="930">
        <v>5.0999999999999996</v>
      </c>
      <c r="D42" s="930">
        <v>4.2</v>
      </c>
      <c r="E42" s="930">
        <v>5.4</v>
      </c>
      <c r="F42" s="932">
        <v>4.2</v>
      </c>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row>
    <row r="43" spans="1:30">
      <c r="A43" s="276"/>
      <c r="B43" s="354" t="s">
        <v>858</v>
      </c>
      <c r="C43" s="930">
        <v>7.3</v>
      </c>
      <c r="D43" s="930">
        <v>5.7</v>
      </c>
      <c r="E43" s="930">
        <v>9</v>
      </c>
      <c r="F43" s="932">
        <v>7.6</v>
      </c>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row>
    <row r="44" spans="1:30">
      <c r="A44" s="276"/>
      <c r="B44" s="354" t="s">
        <v>859</v>
      </c>
      <c r="C44" s="930">
        <v>6</v>
      </c>
      <c r="D44" s="930">
        <v>5.2</v>
      </c>
      <c r="E44" s="930">
        <v>6.5</v>
      </c>
      <c r="F44" s="932">
        <v>5.5</v>
      </c>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row>
    <row r="45" spans="1:30">
      <c r="A45" s="276"/>
      <c r="B45" s="354" t="s">
        <v>860</v>
      </c>
      <c r="C45" s="930">
        <v>31.4</v>
      </c>
      <c r="D45" s="930">
        <v>24</v>
      </c>
      <c r="E45" s="930">
        <v>25.3</v>
      </c>
      <c r="F45" s="932">
        <v>45.5</v>
      </c>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row>
    <row r="46" spans="1:30" ht="13.5" thickBot="1">
      <c r="A46" s="276"/>
      <c r="B46" s="304" t="s">
        <v>861</v>
      </c>
      <c r="C46" s="933" t="s">
        <v>1301</v>
      </c>
      <c r="D46" s="934">
        <v>4.2</v>
      </c>
      <c r="E46" s="934">
        <v>4.9000000000000004</v>
      </c>
      <c r="F46" s="935" t="s">
        <v>1301</v>
      </c>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row>
    <row r="47" spans="1:30" ht="25.5" customHeight="1">
      <c r="A47" s="276"/>
      <c r="B47" s="1399" t="s">
        <v>1305</v>
      </c>
      <c r="C47" s="1399"/>
      <c r="D47" s="1399"/>
      <c r="E47" s="1399"/>
      <c r="F47" s="1399"/>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row>
    <row r="48" spans="1:30">
      <c r="A48" s="276"/>
      <c r="B48" s="276" t="s">
        <v>1302</v>
      </c>
      <c r="C48" s="594"/>
      <c r="D48" s="594"/>
      <c r="E48" s="594"/>
      <c r="F48" s="594"/>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row>
    <row r="49" spans="1:30">
      <c r="A49" s="276"/>
      <c r="B49" s="276"/>
      <c r="C49" s="594"/>
      <c r="D49" s="594"/>
      <c r="E49" s="594"/>
      <c r="F49" s="594"/>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row>
    <row r="50" spans="1:30">
      <c r="A50" s="316" t="s">
        <v>827</v>
      </c>
      <c r="B50" s="276"/>
      <c r="C50" s="276"/>
      <c r="D50" s="276"/>
      <c r="E50" s="276"/>
      <c r="F50" s="577"/>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row>
    <row r="51" spans="1:30" s="276" customFormat="1">
      <c r="A51" s="316"/>
      <c r="B51" s="243" t="s">
        <v>1271</v>
      </c>
      <c r="F51" s="577"/>
    </row>
    <row r="52" spans="1:30">
      <c r="A52" s="356"/>
      <c r="B52" s="578"/>
      <c r="C52" s="356"/>
      <c r="D52" s="356"/>
      <c r="E52" s="356"/>
      <c r="F52" s="577"/>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row>
    <row r="53" spans="1:30">
      <c r="A53" s="276"/>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row>
    <row r="54" spans="1:30">
      <c r="A54" s="276"/>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row>
    <row r="55" spans="1:30">
      <c r="A55" s="276"/>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row>
    <row r="56" spans="1:30">
      <c r="A56" s="276"/>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row>
    <row r="57" spans="1:30">
      <c r="A57" s="276"/>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row>
    <row r="58" spans="1:30">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row>
    <row r="59" spans="1:30">
      <c r="A59" s="276"/>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row>
    <row r="60" spans="1:30">
      <c r="A60" s="276"/>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row>
    <row r="61" spans="1:30">
      <c r="A61" s="276"/>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row>
    <row r="62" spans="1:30">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row>
    <row r="63" spans="1:30">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row>
    <row r="64" spans="1:30">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row>
    <row r="65" spans="1:30">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row>
    <row r="66" spans="1:30">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row>
    <row r="67" spans="1:30">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row>
    <row r="68" spans="1:30">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row>
    <row r="69" spans="1:30">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row>
    <row r="70" spans="1:30">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row>
    <row r="71" spans="1:30">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row>
    <row r="72" spans="1:30">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row>
    <row r="73" spans="1:30">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row>
    <row r="74" spans="1:30">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row>
    <row r="75" spans="1:30">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row>
    <row r="76" spans="1:30">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row>
    <row r="77" spans="1:30">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row>
    <row r="78" spans="1:30">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row>
    <row r="79" spans="1:30">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row>
    <row r="80" spans="1:30">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row>
    <row r="81" spans="1:30">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row>
    <row r="82" spans="1:30">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row>
    <row r="83" spans="1:30">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row>
    <row r="84" spans="1:30">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row>
    <row r="85" spans="1:30">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row>
    <row r="86" spans="1:30">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row>
    <row r="87" spans="1:30">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row>
    <row r="88" spans="1:30">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row>
    <row r="89" spans="1:30">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row>
    <row r="90" spans="1:30">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row>
    <row r="91" spans="1:30">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row>
    <row r="92" spans="1:30">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row>
    <row r="93" spans="1:30">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row>
    <row r="94" spans="1:30">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row>
    <row r="95" spans="1:30">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row>
    <row r="96" spans="1:30">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row>
    <row r="97" spans="1:30">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row>
    <row r="98" spans="1:30">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row>
    <row r="99" spans="1:30">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row>
    <row r="100" spans="1:30">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row>
    <row r="101" spans="1:30">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row>
    <row r="102" spans="1:30">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row>
    <row r="103" spans="1:30">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row>
    <row r="104" spans="1:30">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row>
    <row r="105" spans="1:30">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row>
    <row r="106" spans="1:30">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row>
    <row r="107" spans="1:30">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row>
    <row r="108" spans="1:30">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row>
    <row r="109" spans="1:30">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row>
    <row r="110" spans="1:30">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row>
    <row r="111" spans="1:30">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row>
    <row r="112" spans="1:30">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row>
    <row r="113" spans="1:30">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row>
    <row r="114" spans="1:30">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row>
    <row r="115" spans="1:30">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row>
    <row r="116" spans="1:30">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row>
    <row r="117" spans="1:30">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row>
    <row r="118" spans="1:30">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row>
    <row r="119" spans="1:30">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row>
    <row r="120" spans="1:30">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row>
    <row r="121" spans="1:30">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row>
    <row r="122" spans="1:30">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row>
    <row r="123" spans="1:30">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row>
    <row r="124" spans="1:30">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row>
    <row r="125" spans="1:30">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row>
    <row r="126" spans="1:30">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row>
    <row r="127" spans="1:30">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row>
    <row r="128" spans="1:30">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row>
    <row r="129" spans="1:30">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row>
    <row r="130" spans="1:30">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row>
    <row r="131" spans="1:30">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row>
    <row r="132" spans="1:30">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row>
    <row r="133" spans="1:30">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row>
    <row r="134" spans="1:30">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row>
    <row r="135" spans="1:30">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row>
    <row r="136" spans="1:30">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row>
    <row r="137" spans="1:30">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row>
    <row r="138" spans="1:30">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row>
    <row r="139" spans="1:30">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row>
    <row r="140" spans="1:30">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row>
    <row r="141" spans="1:30">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row>
    <row r="142" spans="1:30">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row>
    <row r="143" spans="1:30">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row>
    <row r="144" spans="1:30">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row>
    <row r="145" spans="1:30">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row>
    <row r="146" spans="1:30">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row>
    <row r="147" spans="1:30">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row>
    <row r="148" spans="1:30">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row>
    <row r="149" spans="1:30">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row>
    <row r="150" spans="1:30">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row>
    <row r="151" spans="1:30">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row>
    <row r="152" spans="1:30">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row>
    <row r="153" spans="1:30">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row>
    <row r="154" spans="1:30">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row>
    <row r="155" spans="1:30">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row>
    <row r="156" spans="1:30">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row>
    <row r="157" spans="1:30">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row>
    <row r="158" spans="1:30">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row>
    <row r="159" spans="1:30">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row>
    <row r="160" spans="1:30">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row>
    <row r="161" spans="1:30">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row>
    <row r="162" spans="1:30">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row>
    <row r="163" spans="1:30">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row>
    <row r="164" spans="1:30">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row>
    <row r="165" spans="1:30">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row>
    <row r="166" spans="1:30">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row>
    <row r="167" spans="1:30">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row>
    <row r="168" spans="1:30">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row>
    <row r="169" spans="1:30">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76"/>
    </row>
    <row r="170" spans="1:30">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76"/>
    </row>
    <row r="171" spans="1:30">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row>
    <row r="172" spans="1:30">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row>
    <row r="173" spans="1:30">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row>
    <row r="174" spans="1:30">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76"/>
    </row>
    <row r="175" spans="1:30">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row>
    <row r="176" spans="1:30">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row>
    <row r="177" spans="1:30">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row>
    <row r="178" spans="1:30">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row>
    <row r="179" spans="1:30">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row>
    <row r="180" spans="1:30">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row>
    <row r="181" spans="1:30">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row>
    <row r="182" spans="1:30">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row>
    <row r="183" spans="1:30">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76"/>
    </row>
    <row r="184" spans="1:30">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row>
    <row r="185" spans="1:30">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row>
    <row r="186" spans="1:30">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row>
    <row r="187" spans="1:30">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row>
    <row r="188" spans="1:30">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row>
  </sheetData>
  <sheetProtection sheet="1" objects="1" scenarios="1"/>
  <mergeCells count="14">
    <mergeCell ref="B47:F47"/>
    <mergeCell ref="B25:F25"/>
    <mergeCell ref="C27:F27"/>
    <mergeCell ref="B24:F24"/>
    <mergeCell ref="B12:F12"/>
    <mergeCell ref="B13:F13"/>
    <mergeCell ref="A17:F17"/>
    <mergeCell ref="A18:F18"/>
    <mergeCell ref="B23:F23"/>
    <mergeCell ref="B11:F11"/>
    <mergeCell ref="A6:F6"/>
    <mergeCell ref="A9:F9"/>
    <mergeCell ref="A16:F16"/>
    <mergeCell ref="B22:F22"/>
  </mergeCells>
  <pageMargins left="0.25" right="0.25" top="0.25" bottom="0.5" header="0.5" footer="0.25"/>
  <pageSetup scale="99" orientation="portrait" r:id="rId1"/>
  <headerFooter alignWithMargins="0">
    <oddFooter>&amp;L&amp;"Arial,Italic"&amp;9EPA Climate Leaders Simplified GHG Emissions Calculator (Direct 1.0)&amp;R&amp;"Arial,Italic"&amp;9&amp;P of &amp;N</oddFooter>
  </headerFooter>
  <colBreaks count="1" manualBreakCount="1">
    <brk id="6" max="1048575" man="1"/>
  </col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3"/>
  <dimension ref="A1:AH213"/>
  <sheetViews>
    <sheetView zoomScale="80" zoomScaleNormal="80" workbookViewId="0"/>
  </sheetViews>
  <sheetFormatPr defaultColWidth="9.140625" defaultRowHeight="12.75"/>
  <cols>
    <col min="1" max="1" width="9.85546875" style="275" customWidth="1"/>
    <col min="2" max="2" width="17.85546875" style="275" customWidth="1"/>
    <col min="3" max="3" width="14.140625" style="275" customWidth="1"/>
    <col min="4" max="4" width="26" style="275" customWidth="1"/>
    <col min="5" max="8" width="14.140625" style="275" customWidth="1"/>
    <col min="9" max="9" width="15.85546875" style="275" customWidth="1"/>
    <col min="10" max="10" width="9" style="275" customWidth="1"/>
    <col min="11" max="11" width="6.140625" style="275" customWidth="1"/>
    <col min="12" max="16384" width="9.140625" style="275"/>
  </cols>
  <sheetData>
    <row r="1" spans="1:34" ht="24.95" customHeight="1">
      <c r="A1" s="276"/>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row>
    <row r="2" spans="1:34" ht="24.95" customHeight="1">
      <c r="A2" s="276"/>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row>
    <row r="3" spans="1:34" ht="30.75" customHeight="1">
      <c r="A3" s="1412" t="s">
        <v>916</v>
      </c>
      <c r="B3" s="1412"/>
      <c r="C3" s="1412"/>
      <c r="D3" s="1412"/>
      <c r="E3" s="1412"/>
      <c r="F3" s="1412"/>
      <c r="G3" s="1412"/>
      <c r="H3" s="1412"/>
      <c r="I3" s="355"/>
      <c r="J3" s="276"/>
      <c r="K3" s="276"/>
      <c r="L3" s="276"/>
      <c r="M3" s="276"/>
      <c r="N3" s="276"/>
      <c r="O3" s="276"/>
      <c r="P3" s="276"/>
      <c r="Q3" s="276"/>
      <c r="R3" s="276"/>
      <c r="S3" s="276"/>
      <c r="T3" s="276"/>
      <c r="U3" s="276"/>
      <c r="V3" s="276"/>
      <c r="W3" s="276"/>
      <c r="X3" s="276"/>
      <c r="Y3" s="276"/>
      <c r="Z3" s="276"/>
      <c r="AA3" s="276"/>
      <c r="AB3" s="276"/>
      <c r="AC3" s="276"/>
      <c r="AD3" s="276"/>
      <c r="AE3" s="276"/>
      <c r="AF3" s="276"/>
      <c r="AG3" s="276"/>
      <c r="AH3" s="276"/>
    </row>
    <row r="4" spans="1:34">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6"/>
      <c r="AH4" s="276"/>
    </row>
    <row r="5" spans="1:34">
      <c r="A5" s="316" t="s">
        <v>917</v>
      </c>
      <c r="B5" s="281"/>
      <c r="C5" s="281"/>
      <c r="D5" s="281"/>
      <c r="E5" s="281"/>
      <c r="F5" s="281"/>
      <c r="G5" s="281"/>
      <c r="H5" s="281"/>
      <c r="I5" s="281"/>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276"/>
    </row>
    <row r="6" spans="1:34" ht="51" customHeight="1">
      <c r="A6" s="1413" t="s">
        <v>965</v>
      </c>
      <c r="B6" s="1413"/>
      <c r="C6" s="1413"/>
      <c r="D6" s="1413"/>
      <c r="E6" s="1413"/>
      <c r="F6" s="1413"/>
      <c r="G6" s="1413"/>
      <c r="H6" s="1413"/>
      <c r="I6" s="1413"/>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row>
    <row r="7" spans="1:34" ht="64.5" customHeight="1">
      <c r="A7" s="600" t="s">
        <v>918</v>
      </c>
      <c r="B7" s="1406" t="s">
        <v>924</v>
      </c>
      <c r="C7" s="1406"/>
      <c r="D7" s="1408" t="s">
        <v>956</v>
      </c>
      <c r="E7" s="1408"/>
      <c r="F7" s="1408"/>
      <c r="G7" s="1408"/>
      <c r="H7" s="1408"/>
      <c r="I7" s="1408"/>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row>
    <row r="8" spans="1:34" ht="69.75" customHeight="1">
      <c r="A8" s="600" t="s">
        <v>919</v>
      </c>
      <c r="B8" s="1406" t="s">
        <v>925</v>
      </c>
      <c r="C8" s="1406"/>
      <c r="D8" s="1408" t="s">
        <v>931</v>
      </c>
      <c r="E8" s="1408"/>
      <c r="F8" s="1408"/>
      <c r="G8" s="1408"/>
      <c r="H8" s="1408"/>
      <c r="I8" s="1408"/>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row>
    <row r="9" spans="1:34" ht="54" customHeight="1">
      <c r="A9" s="600" t="s">
        <v>920</v>
      </c>
      <c r="B9" s="1406" t="s">
        <v>926</v>
      </c>
      <c r="C9" s="1406"/>
      <c r="D9" s="1408" t="s">
        <v>932</v>
      </c>
      <c r="E9" s="1408"/>
      <c r="F9" s="1408"/>
      <c r="G9" s="1408"/>
      <c r="H9" s="1408"/>
      <c r="I9" s="1408"/>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row>
    <row r="10" spans="1:34" ht="62.25" customHeight="1">
      <c r="A10" s="600" t="s">
        <v>921</v>
      </c>
      <c r="B10" s="1406" t="s">
        <v>927</v>
      </c>
      <c r="C10" s="1406"/>
      <c r="D10" s="1408" t="s">
        <v>933</v>
      </c>
      <c r="E10" s="1408"/>
      <c r="F10" s="1408"/>
      <c r="G10" s="1408"/>
      <c r="H10" s="1408"/>
      <c r="I10" s="1408"/>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row>
    <row r="11" spans="1:34" ht="27" customHeight="1">
      <c r="A11" s="600" t="s">
        <v>922</v>
      </c>
      <c r="B11" s="1406" t="s">
        <v>928</v>
      </c>
      <c r="C11" s="1406"/>
      <c r="D11" s="1408" t="s">
        <v>961</v>
      </c>
      <c r="E11" s="1408"/>
      <c r="F11" s="1408"/>
      <c r="G11" s="1408"/>
      <c r="H11" s="1408"/>
      <c r="I11" s="1408"/>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row>
    <row r="12" spans="1:34" ht="32.25" customHeight="1">
      <c r="A12" s="600" t="s">
        <v>923</v>
      </c>
      <c r="B12" s="1406" t="s">
        <v>929</v>
      </c>
      <c r="C12" s="1406"/>
      <c r="D12" s="1408" t="s">
        <v>930</v>
      </c>
      <c r="E12" s="1408"/>
      <c r="F12" s="1408"/>
      <c r="G12" s="1408"/>
      <c r="H12" s="1408"/>
      <c r="I12" s="1408"/>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c r="AH12" s="276"/>
    </row>
    <row r="13" spans="1:34">
      <c r="A13" s="316"/>
      <c r="B13" s="281"/>
      <c r="C13" s="281"/>
      <c r="D13" s="281"/>
      <c r="E13" s="281"/>
      <c r="F13" s="281"/>
      <c r="G13" s="281"/>
      <c r="H13" s="281"/>
      <c r="I13" s="281"/>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row>
    <row r="14" spans="1:34">
      <c r="A14" s="316" t="s">
        <v>828</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row>
    <row r="15" spans="1:34">
      <c r="A15" s="276" t="s">
        <v>829</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row>
    <row r="16" spans="1:34" ht="12.75" customHeight="1">
      <c r="A16" s="1189" t="s">
        <v>830</v>
      </c>
      <c r="B16" s="1189"/>
      <c r="C16" s="1189"/>
      <c r="D16" s="1189"/>
      <c r="E16" s="1189"/>
      <c r="F16" s="1189"/>
      <c r="G16" s="1189"/>
      <c r="H16" s="1189"/>
      <c r="I16" s="1189"/>
      <c r="J16" s="1407"/>
      <c r="K16" s="1407"/>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row>
    <row r="17" spans="1:34" ht="26.25" customHeight="1">
      <c r="A17" s="1189" t="s">
        <v>963</v>
      </c>
      <c r="B17" s="1189"/>
      <c r="C17" s="1189"/>
      <c r="D17" s="1189"/>
      <c r="E17" s="1189"/>
      <c r="F17" s="1189"/>
      <c r="G17" s="1189"/>
      <c r="H17" s="1189"/>
      <c r="I17" s="1189"/>
      <c r="J17" s="1407"/>
      <c r="K17" s="1407"/>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row>
    <row r="18" spans="1:34" ht="26.25" customHeight="1">
      <c r="A18" s="1189" t="s">
        <v>962</v>
      </c>
      <c r="B18" s="1189"/>
      <c r="C18" s="1189"/>
      <c r="D18" s="1189"/>
      <c r="E18" s="1189"/>
      <c r="F18" s="1189"/>
      <c r="G18" s="1189"/>
      <c r="H18" s="1189"/>
      <c r="I18" s="1189"/>
      <c r="J18" s="1407"/>
      <c r="K18" s="1407"/>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row>
    <row r="19" spans="1:34" ht="26.25" customHeight="1">
      <c r="A19" s="1189" t="s">
        <v>831</v>
      </c>
      <c r="B19" s="1189"/>
      <c r="C19" s="1189"/>
      <c r="D19" s="1189"/>
      <c r="E19" s="1189"/>
      <c r="F19" s="1189"/>
      <c r="G19" s="1189"/>
      <c r="H19" s="1189"/>
      <c r="I19" s="1189"/>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row>
    <row r="20" spans="1:34" ht="50.25" customHeight="1">
      <c r="A20" s="1189" t="s">
        <v>964</v>
      </c>
      <c r="B20" s="1189"/>
      <c r="C20" s="1189"/>
      <c r="D20" s="1189"/>
      <c r="E20" s="1189"/>
      <c r="F20" s="1189"/>
      <c r="G20" s="1189"/>
      <c r="H20" s="1189"/>
      <c r="I20" s="1189"/>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row>
    <row r="21" spans="1:34">
      <c r="A21" s="276" t="s">
        <v>955</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row>
    <row r="22" spans="1:34">
      <c r="A22" s="316"/>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row>
    <row r="23" spans="1:34">
      <c r="A23" s="319" t="s">
        <v>429</v>
      </c>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row>
    <row r="24" spans="1:34" ht="54" customHeight="1">
      <c r="A24" s="284" t="s">
        <v>426</v>
      </c>
      <c r="B24" s="1388" t="s">
        <v>954</v>
      </c>
      <c r="C24" s="1388"/>
      <c r="D24" s="1388"/>
      <c r="E24" s="1388"/>
      <c r="F24" s="1388"/>
      <c r="G24" s="1388"/>
      <c r="H24" s="1388"/>
      <c r="I24" s="1388"/>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row>
    <row r="25" spans="1:34">
      <c r="A25" s="316"/>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row>
    <row r="26" spans="1:34">
      <c r="A26" s="319" t="s">
        <v>910</v>
      </c>
      <c r="B26" s="311"/>
      <c r="C26" s="311"/>
      <c r="D26" s="311"/>
      <c r="E26" s="311"/>
      <c r="F26" s="311"/>
      <c r="G26" s="598"/>
      <c r="H26" s="598"/>
      <c r="I26" s="598"/>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row>
    <row r="27" spans="1:34" ht="26.25" customHeight="1">
      <c r="A27" s="1388" t="s">
        <v>966</v>
      </c>
      <c r="B27" s="1388"/>
      <c r="C27" s="1388"/>
      <c r="D27" s="1388"/>
      <c r="E27" s="1388"/>
      <c r="F27" s="1388"/>
      <c r="G27" s="1388"/>
      <c r="H27" s="1388"/>
      <c r="I27" s="1388"/>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row>
    <row r="28" spans="1:34">
      <c r="A28" s="287"/>
      <c r="B28" s="599" t="s">
        <v>911</v>
      </c>
      <c r="C28" s="599"/>
      <c r="D28" s="599"/>
      <c r="E28" s="599"/>
      <c r="F28" s="599"/>
      <c r="G28" s="287"/>
      <c r="H28" s="287"/>
      <c r="I28" s="287"/>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76"/>
      <c r="AG28" s="276"/>
      <c r="AH28" s="276"/>
    </row>
    <row r="29" spans="1:34">
      <c r="A29" s="287"/>
      <c r="B29" s="599" t="s">
        <v>912</v>
      </c>
      <c r="C29" s="599"/>
      <c r="D29" s="599"/>
      <c r="E29" s="599"/>
      <c r="F29" s="599"/>
      <c r="G29" s="287"/>
      <c r="H29" s="287"/>
      <c r="I29" s="287"/>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row>
    <row r="30" spans="1:34">
      <c r="A30" s="287"/>
      <c r="B30" s="906" t="s">
        <v>1293</v>
      </c>
      <c r="C30" s="599"/>
      <c r="D30" s="599"/>
      <c r="E30" s="599"/>
      <c r="F30" s="599"/>
      <c r="G30" s="287"/>
      <c r="H30" s="287"/>
      <c r="I30" s="35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row>
    <row r="31" spans="1:34">
      <c r="A31" s="287"/>
      <c r="B31" s="599" t="s">
        <v>972</v>
      </c>
      <c r="C31" s="599"/>
      <c r="D31" s="599"/>
      <c r="E31" s="599"/>
      <c r="F31" s="599"/>
      <c r="G31" s="287"/>
      <c r="H31" s="287"/>
      <c r="I31" s="35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row>
    <row r="32" spans="1:34">
      <c r="A32" s="287"/>
      <c r="B32" s="599"/>
      <c r="C32" s="599"/>
      <c r="D32" s="599"/>
      <c r="E32" s="599"/>
      <c r="F32" s="599"/>
      <c r="G32" s="287"/>
      <c r="H32" s="287"/>
      <c r="I32" s="35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row>
    <row r="33" spans="1:34">
      <c r="A33" s="298" t="s">
        <v>970</v>
      </c>
      <c r="B33" s="599"/>
      <c r="C33" s="599"/>
      <c r="D33" s="599"/>
      <c r="E33" s="599"/>
      <c r="F33" s="599"/>
      <c r="G33" s="287"/>
      <c r="H33" s="287"/>
      <c r="I33" s="35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row>
    <row r="34" spans="1:34">
      <c r="A34" s="298" t="s">
        <v>971</v>
      </c>
      <c r="B34" s="599"/>
      <c r="C34" s="599"/>
      <c r="D34" s="599"/>
      <c r="E34" s="599"/>
      <c r="F34" s="599"/>
      <c r="G34" s="287"/>
      <c r="H34" s="287"/>
      <c r="I34" s="35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row>
    <row r="35" spans="1:34">
      <c r="A35" s="298" t="s">
        <v>973</v>
      </c>
      <c r="B35" s="599"/>
      <c r="C35" s="599"/>
      <c r="D35" s="599"/>
      <c r="E35" s="599"/>
      <c r="F35" s="599"/>
      <c r="G35" s="287"/>
      <c r="H35" s="287"/>
      <c r="I35" s="35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row>
    <row r="36" spans="1:34">
      <c r="A36" s="298"/>
      <c r="B36" s="599"/>
      <c r="C36" s="599"/>
      <c r="D36" s="599"/>
      <c r="E36" s="599"/>
      <c r="F36" s="599"/>
      <c r="G36" s="287"/>
      <c r="H36" s="287"/>
      <c r="I36" s="35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row>
    <row r="37" spans="1:34">
      <c r="A37" s="201"/>
      <c r="B37" s="162"/>
      <c r="C37" s="162"/>
      <c r="D37" s="162"/>
      <c r="E37" s="162"/>
      <c r="F37" s="1411" t="s">
        <v>832</v>
      </c>
      <c r="G37" s="1411"/>
      <c r="H37" s="1411"/>
      <c r="I37" s="35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row>
    <row r="38" spans="1:34" ht="13.5" thickBot="1">
      <c r="A38" s="7" t="s">
        <v>38</v>
      </c>
      <c r="B38" s="4"/>
      <c r="C38" s="4"/>
      <c r="D38" s="4"/>
      <c r="E38" s="4"/>
      <c r="F38" s="1410" t="s">
        <v>805</v>
      </c>
      <c r="G38" s="1410"/>
      <c r="H38" s="1410"/>
      <c r="I38" s="35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row>
    <row r="39" spans="1:34" ht="14.25">
      <c r="A39" s="12" t="s">
        <v>153</v>
      </c>
      <c r="B39" s="13" t="s">
        <v>153</v>
      </c>
      <c r="C39" s="13" t="s">
        <v>153</v>
      </c>
      <c r="D39" s="13" t="s">
        <v>68</v>
      </c>
      <c r="E39" s="13" t="s">
        <v>69</v>
      </c>
      <c r="F39" s="19" t="s">
        <v>97</v>
      </c>
      <c r="G39" s="19" t="s">
        <v>171</v>
      </c>
      <c r="H39" s="20" t="s">
        <v>96</v>
      </c>
      <c r="I39" s="356"/>
      <c r="J39" s="276"/>
      <c r="K39" s="276"/>
      <c r="L39" s="276"/>
      <c r="M39" s="276"/>
      <c r="N39" s="276"/>
      <c r="O39" s="276"/>
      <c r="P39" s="276"/>
      <c r="Q39" s="276"/>
      <c r="R39" s="276"/>
      <c r="S39" s="276"/>
      <c r="T39" s="276"/>
      <c r="U39" s="276"/>
      <c r="V39" s="276"/>
      <c r="W39" s="276"/>
      <c r="X39" s="276"/>
      <c r="Y39" s="276"/>
      <c r="Z39" s="276"/>
      <c r="AA39" s="276"/>
      <c r="AB39" s="276"/>
      <c r="AC39" s="276"/>
      <c r="AD39" s="276"/>
      <c r="AE39" s="276"/>
      <c r="AF39" s="276"/>
      <c r="AG39" s="276"/>
      <c r="AH39" s="276"/>
    </row>
    <row r="40" spans="1:34">
      <c r="A40" s="30" t="s">
        <v>156</v>
      </c>
      <c r="B40" s="19" t="s">
        <v>157</v>
      </c>
      <c r="C40" s="19" t="s">
        <v>679</v>
      </c>
      <c r="D40" s="561" t="s">
        <v>809</v>
      </c>
      <c r="E40" s="19" t="s">
        <v>70</v>
      </c>
      <c r="F40" s="19" t="s">
        <v>173</v>
      </c>
      <c r="G40" s="19" t="s">
        <v>173</v>
      </c>
      <c r="H40" s="20" t="s">
        <v>173</v>
      </c>
      <c r="I40" s="35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row>
    <row r="41" spans="1:34" ht="13.5" thickBot="1">
      <c r="A41" s="15"/>
      <c r="B41" s="16"/>
      <c r="C41" s="16"/>
      <c r="D41" s="16"/>
      <c r="E41" s="16" t="s">
        <v>39</v>
      </c>
      <c r="F41" s="16" t="s">
        <v>806</v>
      </c>
      <c r="G41" s="16" t="s">
        <v>806</v>
      </c>
      <c r="H41" s="17" t="s">
        <v>806</v>
      </c>
      <c r="I41" s="356"/>
      <c r="J41" s="276"/>
      <c r="K41" s="276"/>
      <c r="L41" s="276"/>
      <c r="M41" s="276"/>
      <c r="N41" s="276"/>
      <c r="O41" s="276"/>
      <c r="P41" s="276"/>
      <c r="Q41" s="276"/>
      <c r="R41" s="276"/>
      <c r="S41" s="276"/>
      <c r="T41" s="276"/>
      <c r="U41" s="276"/>
      <c r="V41" s="276"/>
      <c r="W41" s="276"/>
      <c r="X41" s="276"/>
      <c r="Y41" s="276"/>
      <c r="Z41" s="276"/>
      <c r="AA41" s="276"/>
      <c r="AB41" s="276"/>
      <c r="AC41" s="276"/>
      <c r="AD41" s="276"/>
      <c r="AE41" s="276"/>
      <c r="AF41" s="276"/>
      <c r="AG41" s="276"/>
      <c r="AH41" s="276"/>
    </row>
    <row r="42" spans="1:34">
      <c r="A42" s="65" t="s">
        <v>913</v>
      </c>
      <c r="B42" s="29" t="s">
        <v>914</v>
      </c>
      <c r="C42" s="73">
        <v>6000</v>
      </c>
      <c r="D42" s="29" t="s">
        <v>59</v>
      </c>
      <c r="E42" s="73">
        <v>25000</v>
      </c>
      <c r="F42" s="574">
        <v>0</v>
      </c>
      <c r="G42" s="574">
        <v>0</v>
      </c>
      <c r="H42" s="574">
        <v>0</v>
      </c>
      <c r="I42" s="35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row>
    <row r="43" spans="1:34">
      <c r="A43" s="177" t="s">
        <v>913</v>
      </c>
      <c r="B43" s="178" t="s">
        <v>915</v>
      </c>
      <c r="C43" s="179">
        <v>6000</v>
      </c>
      <c r="D43" s="178" t="s">
        <v>59</v>
      </c>
      <c r="E43" s="179">
        <f>100000-E42</f>
        <v>75000</v>
      </c>
      <c r="F43" s="574" t="s">
        <v>807</v>
      </c>
      <c r="G43" s="574" t="s">
        <v>807</v>
      </c>
      <c r="H43" s="574" t="s">
        <v>807</v>
      </c>
      <c r="I43" s="35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row>
    <row r="44" spans="1:34">
      <c r="A44" s="249"/>
      <c r="B44" s="249"/>
      <c r="C44" s="250"/>
      <c r="D44" s="249"/>
      <c r="E44" s="250"/>
      <c r="F44" s="250"/>
      <c r="G44" s="250"/>
      <c r="H44" s="250"/>
      <c r="I44" s="356"/>
      <c r="J44" s="276"/>
      <c r="K44" s="276"/>
      <c r="L44" s="276"/>
      <c r="M44" s="276"/>
      <c r="N44" s="276"/>
      <c r="O44" s="276"/>
      <c r="P44" s="276"/>
      <c r="Q44" s="276"/>
      <c r="R44" s="276"/>
      <c r="S44" s="276"/>
      <c r="T44" s="276"/>
      <c r="U44" s="276"/>
      <c r="V44" s="276"/>
      <c r="W44" s="276"/>
      <c r="X44" s="276"/>
      <c r="Y44" s="276"/>
      <c r="Z44" s="276"/>
      <c r="AA44" s="276"/>
      <c r="AB44" s="276"/>
      <c r="AC44" s="276"/>
      <c r="AD44" s="276"/>
      <c r="AE44" s="276"/>
      <c r="AF44" s="276"/>
      <c r="AG44" s="276"/>
      <c r="AH44" s="276"/>
    </row>
    <row r="45" spans="1:34">
      <c r="A45" s="249"/>
      <c r="B45" s="249"/>
      <c r="C45" s="250"/>
      <c r="D45" s="249"/>
      <c r="E45" s="250"/>
      <c r="F45" s="250"/>
      <c r="G45" s="250"/>
      <c r="H45" s="250"/>
      <c r="I45" s="35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row>
    <row r="46" spans="1:34">
      <c r="A46" s="316" t="s">
        <v>827</v>
      </c>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row>
    <row r="47" spans="1:34">
      <c r="A47" s="356"/>
      <c r="B47" s="578" t="s">
        <v>724</v>
      </c>
      <c r="C47" s="578"/>
      <c r="D47" s="578"/>
      <c r="E47" s="578"/>
      <c r="F47" s="578"/>
      <c r="G47" s="356"/>
      <c r="H47" s="356"/>
      <c r="I47" s="356"/>
      <c r="J47" s="276"/>
      <c r="K47" s="276"/>
      <c r="L47" s="276"/>
      <c r="M47" s="276"/>
      <c r="N47" s="276"/>
      <c r="O47" s="276"/>
      <c r="P47" s="276"/>
      <c r="Q47" s="276"/>
      <c r="R47" s="276"/>
      <c r="S47" s="276"/>
      <c r="T47" s="276"/>
      <c r="U47" s="276"/>
      <c r="V47" s="276"/>
      <c r="W47" s="276"/>
      <c r="X47" s="276"/>
      <c r="Y47" s="276"/>
      <c r="Z47" s="276"/>
      <c r="AA47" s="276"/>
      <c r="AB47" s="276"/>
      <c r="AC47" s="276"/>
      <c r="AD47" s="276"/>
      <c r="AE47" s="276"/>
      <c r="AF47" s="276"/>
      <c r="AG47" s="276"/>
      <c r="AH47" s="276"/>
    </row>
    <row r="48" spans="1:34" ht="12" customHeight="1">
      <c r="A48" s="356"/>
      <c r="B48" s="356"/>
      <c r="C48" s="356"/>
      <c r="D48" s="356"/>
      <c r="E48" s="356"/>
      <c r="F48" s="356"/>
      <c r="G48" s="356"/>
      <c r="H48" s="356"/>
      <c r="I48" s="35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row>
    <row r="49" spans="1:34">
      <c r="A49" s="357"/>
      <c r="B49" s="357"/>
      <c r="C49" s="357"/>
      <c r="D49" s="357"/>
      <c r="E49" s="357"/>
      <c r="F49" s="357"/>
      <c r="G49" s="357"/>
      <c r="H49" s="358"/>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row>
    <row r="50" spans="1:34">
      <c r="A50" s="357"/>
      <c r="B50" s="357"/>
      <c r="C50" s="357"/>
      <c r="D50" s="357"/>
      <c r="E50" s="357"/>
      <c r="F50" s="357"/>
      <c r="G50" s="357"/>
      <c r="H50" s="358"/>
      <c r="I50" s="276"/>
      <c r="J50" s="276"/>
      <c r="K50" s="276"/>
      <c r="L50" s="276"/>
      <c r="M50" s="276"/>
      <c r="N50" s="276"/>
      <c r="O50" s="276"/>
      <c r="P50" s="276"/>
      <c r="Q50" s="276"/>
      <c r="R50" s="276"/>
      <c r="S50" s="276"/>
      <c r="T50" s="276"/>
      <c r="U50" s="276"/>
      <c r="V50" s="276"/>
      <c r="W50" s="276"/>
      <c r="X50" s="276"/>
      <c r="Y50" s="276"/>
      <c r="Z50" s="276"/>
      <c r="AA50" s="276"/>
      <c r="AB50" s="276"/>
      <c r="AC50" s="276"/>
      <c r="AD50" s="276"/>
      <c r="AE50" s="276"/>
      <c r="AF50" s="276"/>
      <c r="AG50" s="276"/>
      <c r="AH50" s="276"/>
    </row>
    <row r="51" spans="1:34">
      <c r="A51" s="357"/>
      <c r="B51" s="357"/>
      <c r="C51" s="357"/>
      <c r="D51" s="357"/>
      <c r="E51" s="357"/>
      <c r="F51" s="357"/>
      <c r="G51" s="357"/>
      <c r="H51" s="358"/>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row>
    <row r="52" spans="1:34">
      <c r="A52" s="357"/>
      <c r="B52" s="357"/>
      <c r="C52" s="357"/>
      <c r="D52" s="357"/>
      <c r="E52" s="357"/>
      <c r="F52" s="357"/>
      <c r="G52" s="357"/>
      <c r="H52" s="358"/>
      <c r="I52" s="276"/>
      <c r="J52" s="276"/>
      <c r="K52" s="276"/>
      <c r="L52" s="276"/>
      <c r="M52" s="276"/>
      <c r="N52" s="276"/>
      <c r="O52" s="276"/>
      <c r="P52" s="276"/>
      <c r="Q52" s="276"/>
      <c r="R52" s="276"/>
      <c r="S52" s="276"/>
      <c r="T52" s="276"/>
      <c r="U52" s="276"/>
      <c r="V52" s="276"/>
      <c r="W52" s="276"/>
      <c r="X52" s="276"/>
      <c r="Y52" s="276"/>
      <c r="Z52" s="276"/>
      <c r="AA52" s="276"/>
      <c r="AB52" s="276"/>
      <c r="AC52" s="276"/>
      <c r="AD52" s="276"/>
      <c r="AE52" s="276"/>
      <c r="AF52" s="276"/>
      <c r="AG52" s="276"/>
      <c r="AH52" s="276"/>
    </row>
    <row r="53" spans="1:34">
      <c r="A53" s="357"/>
      <c r="B53" s="357"/>
      <c r="C53" s="357"/>
      <c r="D53" s="357"/>
      <c r="E53" s="357"/>
      <c r="F53" s="357"/>
      <c r="G53" s="357"/>
      <c r="H53" s="358"/>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row>
    <row r="54" spans="1:34">
      <c r="A54" s="357"/>
      <c r="B54" s="357"/>
      <c r="C54" s="357"/>
      <c r="D54" s="357"/>
      <c r="E54" s="357"/>
      <c r="F54" s="357"/>
      <c r="G54" s="357"/>
      <c r="H54" s="358"/>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row>
    <row r="55" spans="1:34">
      <c r="A55" s="357"/>
      <c r="B55" s="357"/>
      <c r="C55" s="357"/>
      <c r="D55" s="357"/>
      <c r="E55" s="357"/>
      <c r="F55" s="357"/>
      <c r="G55" s="357"/>
      <c r="H55" s="358"/>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row>
    <row r="56" spans="1:34">
      <c r="A56" s="357"/>
      <c r="B56" s="357"/>
      <c r="C56" s="357"/>
      <c r="D56" s="357"/>
      <c r="E56" s="357"/>
      <c r="F56" s="357"/>
      <c r="G56" s="357"/>
      <c r="H56" s="358"/>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row>
    <row r="57" spans="1:34">
      <c r="A57" s="357"/>
      <c r="B57" s="357"/>
      <c r="C57" s="357"/>
      <c r="D57" s="357"/>
      <c r="E57" s="357"/>
      <c r="F57" s="357"/>
      <c r="G57" s="357"/>
      <c r="H57" s="358"/>
      <c r="I57" s="276"/>
      <c r="J57" s="276"/>
      <c r="K57" s="276"/>
      <c r="L57" s="276"/>
      <c r="M57" s="276"/>
      <c r="N57" s="276"/>
      <c r="O57" s="276"/>
      <c r="P57" s="276"/>
      <c r="Q57" s="276"/>
      <c r="R57" s="276"/>
      <c r="S57" s="276"/>
      <c r="T57" s="276"/>
      <c r="U57" s="276"/>
      <c r="V57" s="276"/>
      <c r="W57" s="276"/>
      <c r="X57" s="276"/>
      <c r="Y57" s="276"/>
      <c r="Z57" s="276"/>
      <c r="AA57" s="276"/>
      <c r="AB57" s="276"/>
      <c r="AC57" s="276"/>
      <c r="AD57" s="276"/>
      <c r="AE57" s="276"/>
      <c r="AF57" s="276"/>
      <c r="AG57" s="276"/>
      <c r="AH57" s="276"/>
    </row>
    <row r="58" spans="1:34">
      <c r="A58" s="357"/>
      <c r="B58" s="357"/>
      <c r="C58" s="357"/>
      <c r="D58" s="357"/>
      <c r="E58" s="357"/>
      <c r="F58" s="357"/>
      <c r="G58" s="357"/>
      <c r="H58" s="358"/>
      <c r="I58" s="276"/>
      <c r="J58" s="276"/>
      <c r="K58" s="276"/>
      <c r="L58" s="276"/>
      <c r="M58" s="276"/>
      <c r="N58" s="276"/>
      <c r="O58" s="276"/>
      <c r="P58" s="276"/>
      <c r="Q58" s="276"/>
      <c r="R58" s="276"/>
      <c r="S58" s="276"/>
      <c r="T58" s="276"/>
      <c r="U58" s="276"/>
      <c r="V58" s="276"/>
      <c r="W58" s="276"/>
      <c r="X58" s="276"/>
      <c r="Y58" s="276"/>
      <c r="Z58" s="276"/>
      <c r="AA58" s="276"/>
      <c r="AB58" s="276"/>
      <c r="AC58" s="276"/>
      <c r="AD58" s="276"/>
      <c r="AE58" s="276"/>
      <c r="AF58" s="276"/>
      <c r="AG58" s="276"/>
      <c r="AH58" s="276"/>
    </row>
    <row r="59" spans="1:34">
      <c r="A59" s="357"/>
      <c r="B59" s="357"/>
      <c r="C59" s="357"/>
      <c r="D59" s="357"/>
      <c r="E59" s="357"/>
      <c r="F59" s="357"/>
      <c r="G59" s="357"/>
      <c r="H59" s="358"/>
      <c r="I59" s="276"/>
      <c r="J59" s="276"/>
      <c r="K59" s="276"/>
      <c r="L59" s="276"/>
      <c r="M59" s="276"/>
      <c r="N59" s="276"/>
      <c r="O59" s="276"/>
      <c r="P59" s="276"/>
      <c r="Q59" s="276"/>
      <c r="R59" s="276"/>
      <c r="S59" s="276"/>
      <c r="T59" s="276"/>
      <c r="U59" s="276"/>
      <c r="V59" s="276"/>
      <c r="W59" s="276"/>
      <c r="X59" s="276"/>
      <c r="Y59" s="276"/>
      <c r="Z59" s="276"/>
      <c r="AA59" s="276"/>
      <c r="AB59" s="276"/>
      <c r="AC59" s="276"/>
      <c r="AD59" s="276"/>
      <c r="AE59" s="276"/>
      <c r="AF59" s="276"/>
      <c r="AG59" s="276"/>
      <c r="AH59" s="276"/>
    </row>
    <row r="60" spans="1:34">
      <c r="A60" s="357"/>
      <c r="B60" s="357"/>
      <c r="C60" s="357"/>
      <c r="D60" s="357"/>
      <c r="E60" s="357"/>
      <c r="F60" s="357"/>
      <c r="G60" s="357"/>
      <c r="H60" s="358"/>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row>
    <row r="61" spans="1:34">
      <c r="A61" s="357"/>
      <c r="B61" s="359"/>
      <c r="C61" s="359"/>
      <c r="D61" s="359"/>
      <c r="E61" s="359"/>
      <c r="F61" s="359"/>
      <c r="G61" s="357"/>
      <c r="H61" s="358"/>
      <c r="I61" s="276"/>
      <c r="J61" s="276"/>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76"/>
    </row>
    <row r="62" spans="1:34">
      <c r="A62" s="357"/>
      <c r="B62" s="359"/>
      <c r="C62" s="359"/>
      <c r="D62" s="359"/>
      <c r="E62" s="359"/>
      <c r="F62" s="359"/>
      <c r="G62" s="357"/>
      <c r="H62" s="358"/>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row>
    <row r="63" spans="1:34">
      <c r="A63" s="357"/>
      <c r="B63" s="359"/>
      <c r="C63" s="359"/>
      <c r="D63" s="359"/>
      <c r="E63" s="359"/>
      <c r="F63" s="359"/>
      <c r="G63" s="357"/>
      <c r="H63" s="358"/>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6"/>
    </row>
    <row r="64" spans="1:34">
      <c r="A64" s="357"/>
      <c r="B64" s="359"/>
      <c r="C64" s="359"/>
      <c r="D64" s="359"/>
      <c r="E64" s="359"/>
      <c r="F64" s="359"/>
      <c r="G64" s="357"/>
      <c r="H64" s="358"/>
      <c r="I64" s="276"/>
      <c r="J64" s="276"/>
      <c r="K64" s="276"/>
      <c r="L64" s="276"/>
      <c r="M64" s="276"/>
      <c r="N64" s="276"/>
      <c r="O64" s="276"/>
      <c r="P64" s="276"/>
      <c r="Q64" s="276"/>
      <c r="R64" s="276"/>
      <c r="S64" s="276"/>
      <c r="T64" s="276"/>
      <c r="U64" s="276"/>
      <c r="V64" s="276"/>
      <c r="W64" s="276"/>
      <c r="X64" s="276"/>
      <c r="Y64" s="276"/>
      <c r="Z64" s="276"/>
      <c r="AA64" s="276"/>
      <c r="AB64" s="276"/>
      <c r="AC64" s="276"/>
      <c r="AD64" s="276"/>
      <c r="AE64" s="276"/>
      <c r="AF64" s="276"/>
      <c r="AG64" s="276"/>
      <c r="AH64" s="276"/>
    </row>
    <row r="65" spans="1:34">
      <c r="A65" s="357"/>
      <c r="B65" s="359"/>
      <c r="C65" s="359"/>
      <c r="D65" s="359"/>
      <c r="E65" s="359"/>
      <c r="F65" s="359"/>
      <c r="G65" s="357"/>
      <c r="H65" s="358"/>
      <c r="I65" s="276"/>
      <c r="J65" s="276"/>
      <c r="K65" s="276"/>
      <c r="L65" s="276"/>
      <c r="M65" s="276"/>
      <c r="N65" s="276"/>
      <c r="O65" s="276"/>
      <c r="P65" s="276"/>
      <c r="Q65" s="276"/>
      <c r="R65" s="276"/>
      <c r="S65" s="276"/>
      <c r="T65" s="276"/>
      <c r="U65" s="276"/>
      <c r="V65" s="276"/>
      <c r="W65" s="276"/>
      <c r="X65" s="276"/>
      <c r="Y65" s="276"/>
      <c r="Z65" s="276"/>
      <c r="AA65" s="276"/>
      <c r="AB65" s="276"/>
      <c r="AC65" s="276"/>
      <c r="AD65" s="276"/>
      <c r="AE65" s="276"/>
      <c r="AF65" s="276"/>
      <c r="AG65" s="276"/>
      <c r="AH65" s="276"/>
    </row>
    <row r="66" spans="1:34">
      <c r="A66" s="357"/>
      <c r="B66" s="359"/>
      <c r="C66" s="359"/>
      <c r="D66" s="359"/>
      <c r="E66" s="359"/>
      <c r="F66" s="359"/>
      <c r="G66" s="357"/>
      <c r="H66" s="358"/>
      <c r="I66" s="276"/>
      <c r="J66" s="276"/>
      <c r="K66" s="276"/>
      <c r="L66" s="276"/>
      <c r="M66" s="276"/>
      <c r="N66" s="276"/>
      <c r="O66" s="276"/>
      <c r="P66" s="276"/>
      <c r="Q66" s="276"/>
      <c r="R66" s="276"/>
      <c r="S66" s="276"/>
      <c r="T66" s="276"/>
      <c r="U66" s="276"/>
      <c r="V66" s="276"/>
      <c r="W66" s="276"/>
      <c r="X66" s="276"/>
      <c r="Y66" s="276"/>
      <c r="Z66" s="276"/>
      <c r="AA66" s="276"/>
      <c r="AB66" s="276"/>
      <c r="AC66" s="276"/>
      <c r="AD66" s="276"/>
      <c r="AE66" s="276"/>
      <c r="AF66" s="276"/>
      <c r="AG66" s="276"/>
      <c r="AH66" s="276"/>
    </row>
    <row r="67" spans="1:34">
      <c r="A67" s="357"/>
      <c r="B67" s="359"/>
      <c r="C67" s="359"/>
      <c r="D67" s="359"/>
      <c r="E67" s="359"/>
      <c r="F67" s="359"/>
      <c r="G67" s="357"/>
      <c r="H67" s="358"/>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6"/>
    </row>
    <row r="68" spans="1:34">
      <c r="A68" s="357"/>
      <c r="B68" s="359"/>
      <c r="C68" s="359"/>
      <c r="D68" s="359"/>
      <c r="E68" s="359"/>
      <c r="F68" s="359"/>
      <c r="G68" s="357"/>
      <c r="H68" s="358"/>
      <c r="I68" s="276"/>
      <c r="J68" s="276"/>
      <c r="K68" s="276"/>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row>
    <row r="69" spans="1:34">
      <c r="A69" s="357"/>
      <c r="B69" s="359"/>
      <c r="C69" s="359"/>
      <c r="D69" s="359"/>
      <c r="E69" s="359"/>
      <c r="F69" s="359"/>
      <c r="G69" s="357"/>
      <c r="H69" s="358"/>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row>
    <row r="70" spans="1:34">
      <c r="A70" s="357"/>
      <c r="B70" s="359"/>
      <c r="C70" s="359"/>
      <c r="D70" s="359"/>
      <c r="E70" s="359"/>
      <c r="F70" s="359"/>
      <c r="G70" s="357"/>
      <c r="H70" s="358"/>
      <c r="I70" s="276"/>
      <c r="J70" s="276"/>
      <c r="K70" s="276"/>
      <c r="L70" s="276"/>
      <c r="M70" s="276"/>
      <c r="N70" s="276"/>
      <c r="O70" s="276"/>
      <c r="P70" s="276"/>
      <c r="Q70" s="276"/>
      <c r="R70" s="276"/>
      <c r="S70" s="276"/>
      <c r="T70" s="276"/>
      <c r="U70" s="276"/>
      <c r="V70" s="276"/>
      <c r="W70" s="276"/>
      <c r="X70" s="276"/>
      <c r="Y70" s="276"/>
      <c r="Z70" s="276"/>
      <c r="AA70" s="276"/>
      <c r="AB70" s="276"/>
      <c r="AC70" s="276"/>
      <c r="AD70" s="276"/>
      <c r="AE70" s="276"/>
      <c r="AF70" s="276"/>
      <c r="AG70" s="276"/>
      <c r="AH70" s="276"/>
    </row>
    <row r="71" spans="1:34">
      <c r="A71" s="357"/>
      <c r="B71" s="359"/>
      <c r="C71" s="359"/>
      <c r="D71" s="359"/>
      <c r="E71" s="359"/>
      <c r="F71" s="359"/>
      <c r="G71" s="357"/>
      <c r="H71" s="358"/>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row>
    <row r="72" spans="1:34">
      <c r="A72" s="357"/>
      <c r="B72" s="359"/>
      <c r="C72" s="359"/>
      <c r="D72" s="359"/>
      <c r="E72" s="359"/>
      <c r="F72" s="359"/>
      <c r="G72" s="357"/>
      <c r="H72" s="358"/>
      <c r="I72" s="276"/>
      <c r="J72" s="276"/>
      <c r="K72" s="276"/>
      <c r="L72" s="276"/>
      <c r="M72" s="276"/>
      <c r="N72" s="276"/>
      <c r="O72" s="276"/>
      <c r="P72" s="276"/>
      <c r="Q72" s="276"/>
      <c r="R72" s="276"/>
      <c r="S72" s="276"/>
      <c r="T72" s="276"/>
      <c r="U72" s="276"/>
      <c r="V72" s="276"/>
      <c r="W72" s="276"/>
      <c r="X72" s="276"/>
      <c r="Y72" s="276"/>
      <c r="Z72" s="276"/>
      <c r="AA72" s="276"/>
      <c r="AB72" s="276"/>
      <c r="AC72" s="276"/>
      <c r="AD72" s="276"/>
      <c r="AE72" s="276"/>
      <c r="AF72" s="276"/>
      <c r="AG72" s="276"/>
      <c r="AH72" s="276"/>
    </row>
    <row r="73" spans="1:34">
      <c r="A73" s="357"/>
      <c r="B73" s="359"/>
      <c r="C73" s="359"/>
      <c r="D73" s="359"/>
      <c r="E73" s="359"/>
      <c r="F73" s="359"/>
      <c r="G73" s="357"/>
      <c r="H73" s="358"/>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row>
    <row r="74" spans="1:34">
      <c r="A74" s="357"/>
      <c r="B74" s="359"/>
      <c r="C74" s="359"/>
      <c r="D74" s="359"/>
      <c r="E74" s="359"/>
      <c r="F74" s="359"/>
      <c r="G74" s="357"/>
      <c r="H74" s="358"/>
      <c r="I74" s="276"/>
      <c r="J74" s="276"/>
      <c r="K74" s="276"/>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row>
    <row r="75" spans="1:34">
      <c r="A75" s="357"/>
      <c r="B75" s="359"/>
      <c r="C75" s="359"/>
      <c r="D75" s="359"/>
      <c r="E75" s="359"/>
      <c r="F75" s="359"/>
      <c r="G75" s="357"/>
      <c r="H75" s="358"/>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row>
    <row r="76" spans="1:34">
      <c r="A76" s="357"/>
      <c r="B76" s="359"/>
      <c r="C76" s="359"/>
      <c r="D76" s="359"/>
      <c r="E76" s="359"/>
      <c r="F76" s="359"/>
      <c r="G76" s="357"/>
      <c r="H76" s="358"/>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c r="AF76" s="276"/>
      <c r="AG76" s="276"/>
      <c r="AH76" s="276"/>
    </row>
    <row r="77" spans="1:34">
      <c r="A77" s="357"/>
      <c r="B77" s="359"/>
      <c r="C77" s="359"/>
      <c r="D77" s="359"/>
      <c r="E77" s="359"/>
      <c r="F77" s="359"/>
      <c r="G77" s="357"/>
      <c r="H77" s="358"/>
      <c r="I77" s="276"/>
      <c r="J77" s="276"/>
      <c r="K77" s="276"/>
      <c r="L77" s="276"/>
      <c r="M77" s="276"/>
      <c r="N77" s="276"/>
      <c r="O77" s="276"/>
      <c r="P77" s="276"/>
      <c r="Q77" s="276"/>
      <c r="R77" s="276"/>
      <c r="S77" s="276"/>
      <c r="T77" s="276"/>
      <c r="U77" s="276"/>
      <c r="V77" s="276"/>
      <c r="W77" s="276"/>
      <c r="X77" s="276"/>
      <c r="Y77" s="276"/>
      <c r="Z77" s="276"/>
      <c r="AA77" s="276"/>
      <c r="AB77" s="276"/>
      <c r="AC77" s="276"/>
      <c r="AD77" s="276"/>
      <c r="AE77" s="276"/>
      <c r="AF77" s="276"/>
      <c r="AG77" s="276"/>
      <c r="AH77" s="276"/>
    </row>
    <row r="78" spans="1:34">
      <c r="A78" s="357"/>
      <c r="B78" s="359"/>
      <c r="C78" s="359"/>
      <c r="D78" s="359"/>
      <c r="E78" s="359"/>
      <c r="F78" s="359"/>
      <c r="G78" s="357"/>
      <c r="H78" s="358"/>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row>
    <row r="79" spans="1:34">
      <c r="A79" s="357"/>
      <c r="B79" s="359"/>
      <c r="C79" s="359"/>
      <c r="D79" s="359"/>
      <c r="E79" s="359"/>
      <c r="F79" s="359"/>
      <c r="G79" s="357"/>
      <c r="H79" s="358"/>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row>
    <row r="80" spans="1:34">
      <c r="A80" s="357"/>
      <c r="B80" s="359"/>
      <c r="C80" s="359"/>
      <c r="D80" s="359"/>
      <c r="E80" s="359"/>
      <c r="F80" s="359"/>
      <c r="G80" s="357"/>
      <c r="H80" s="358"/>
      <c r="I80" s="276"/>
      <c r="J80" s="276"/>
      <c r="K80" s="276"/>
      <c r="L80" s="276"/>
      <c r="M80" s="276"/>
      <c r="N80" s="276"/>
      <c r="O80" s="276"/>
      <c r="P80" s="276"/>
      <c r="Q80" s="276"/>
      <c r="R80" s="276"/>
      <c r="S80" s="276"/>
      <c r="T80" s="276"/>
      <c r="U80" s="276"/>
      <c r="V80" s="276"/>
      <c r="W80" s="276"/>
      <c r="X80" s="276"/>
      <c r="Y80" s="276"/>
      <c r="Z80" s="276"/>
      <c r="AA80" s="276"/>
      <c r="AB80" s="276"/>
      <c r="AC80" s="276"/>
      <c r="AD80" s="276"/>
      <c r="AE80" s="276"/>
      <c r="AF80" s="276"/>
      <c r="AG80" s="276"/>
      <c r="AH80" s="276"/>
    </row>
    <row r="81" spans="1:34">
      <c r="A81" s="357"/>
      <c r="B81" s="359"/>
      <c r="C81" s="359"/>
      <c r="D81" s="359"/>
      <c r="E81" s="359"/>
      <c r="F81" s="359"/>
      <c r="G81" s="357"/>
      <c r="H81" s="358"/>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row>
    <row r="82" spans="1:34">
      <c r="A82" s="276"/>
      <c r="B82" s="316"/>
      <c r="C82" s="316"/>
      <c r="D82" s="316"/>
      <c r="E82" s="316"/>
      <c r="F82" s="316"/>
      <c r="G82" s="360"/>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row>
    <row r="83" spans="1:34">
      <c r="A83" s="316"/>
      <c r="B83" s="316"/>
      <c r="C83" s="316"/>
      <c r="D83" s="316"/>
      <c r="E83" s="316"/>
      <c r="F83" s="316"/>
      <c r="G83" s="316"/>
      <c r="H83" s="316"/>
      <c r="I83" s="31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row>
    <row r="84" spans="1:34">
      <c r="A84" s="276"/>
      <c r="B84" s="316"/>
      <c r="C84" s="316"/>
      <c r="D84" s="316"/>
      <c r="E84" s="316"/>
      <c r="F84" s="316"/>
      <c r="G84" s="360"/>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row>
    <row r="85" spans="1:34">
      <c r="A85" s="31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row>
    <row r="86" spans="1:34">
      <c r="A86" s="1409"/>
      <c r="B86" s="1409"/>
      <c r="C86" s="356"/>
      <c r="D86" s="356"/>
      <c r="E86" s="356"/>
      <c r="F86" s="356"/>
      <c r="G86" s="356"/>
      <c r="H86" s="35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row>
    <row r="87" spans="1:34">
      <c r="A87" s="1409"/>
      <c r="B87" s="1409"/>
      <c r="C87" s="356"/>
      <c r="D87" s="356"/>
      <c r="E87" s="356"/>
      <c r="F87" s="356"/>
      <c r="G87" s="356"/>
      <c r="H87" s="35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row>
    <row r="88" spans="1:34" s="279" customFormat="1">
      <c r="A88" s="361"/>
      <c r="B88" s="361"/>
      <c r="C88" s="361"/>
      <c r="D88" s="361"/>
      <c r="E88" s="361"/>
      <c r="F88" s="361"/>
      <c r="G88" s="362"/>
      <c r="H88" s="361"/>
      <c r="I88" s="361"/>
      <c r="J88" s="361"/>
      <c r="K88" s="361"/>
      <c r="L88" s="361"/>
      <c r="M88" s="361"/>
      <c r="N88" s="361"/>
      <c r="O88" s="361"/>
      <c r="P88" s="361"/>
      <c r="Q88" s="361"/>
      <c r="R88" s="361"/>
      <c r="S88" s="361"/>
      <c r="T88" s="361"/>
      <c r="U88" s="361"/>
      <c r="V88" s="361"/>
      <c r="W88" s="361"/>
      <c r="X88" s="361"/>
      <c r="Y88" s="361"/>
      <c r="Z88" s="361"/>
      <c r="AA88" s="361"/>
      <c r="AB88" s="361"/>
      <c r="AC88" s="361"/>
      <c r="AD88" s="361"/>
      <c r="AE88" s="361"/>
      <c r="AF88" s="361"/>
      <c r="AG88" s="361"/>
      <c r="AH88" s="361"/>
    </row>
    <row r="89" spans="1:34" s="279" customFormat="1">
      <c r="A89" s="361"/>
      <c r="B89" s="361"/>
      <c r="C89" s="361"/>
      <c r="D89" s="361"/>
      <c r="E89" s="361"/>
      <c r="F89" s="361"/>
      <c r="G89" s="362"/>
      <c r="H89" s="361"/>
      <c r="I89" s="361"/>
      <c r="J89" s="361"/>
      <c r="K89" s="361"/>
      <c r="L89" s="361"/>
      <c r="M89" s="361"/>
      <c r="N89" s="361"/>
      <c r="O89" s="361"/>
      <c r="P89" s="361"/>
      <c r="Q89" s="361"/>
      <c r="R89" s="361"/>
      <c r="S89" s="361"/>
      <c r="T89" s="361"/>
      <c r="U89" s="361"/>
      <c r="V89" s="361"/>
      <c r="W89" s="361"/>
      <c r="X89" s="361"/>
      <c r="Y89" s="361"/>
      <c r="Z89" s="361"/>
      <c r="AA89" s="361"/>
      <c r="AB89" s="361"/>
      <c r="AC89" s="361"/>
      <c r="AD89" s="361"/>
      <c r="AE89" s="361"/>
      <c r="AF89" s="361"/>
      <c r="AG89" s="361"/>
      <c r="AH89" s="361"/>
    </row>
    <row r="90" spans="1:34" s="279" customFormat="1">
      <c r="A90" s="361"/>
      <c r="B90" s="361"/>
      <c r="C90" s="361"/>
      <c r="D90" s="361"/>
      <c r="E90" s="361"/>
      <c r="F90" s="361"/>
      <c r="G90" s="362"/>
      <c r="H90" s="361"/>
      <c r="I90" s="361"/>
      <c r="J90" s="361"/>
      <c r="K90" s="361"/>
      <c r="L90" s="361"/>
      <c r="M90" s="361"/>
      <c r="N90" s="361"/>
      <c r="O90" s="361"/>
      <c r="P90" s="361"/>
      <c r="Q90" s="361"/>
      <c r="R90" s="361"/>
      <c r="S90" s="361"/>
      <c r="T90" s="361"/>
      <c r="U90" s="361"/>
      <c r="V90" s="361"/>
      <c r="W90" s="361"/>
      <c r="X90" s="361"/>
      <c r="Y90" s="361"/>
      <c r="Z90" s="361"/>
      <c r="AA90" s="361"/>
      <c r="AB90" s="361"/>
      <c r="AC90" s="361"/>
      <c r="AD90" s="361"/>
      <c r="AE90" s="361"/>
      <c r="AF90" s="361"/>
      <c r="AG90" s="361"/>
      <c r="AH90" s="361"/>
    </row>
    <row r="91" spans="1:34" s="279" customFormat="1">
      <c r="A91" s="361"/>
      <c r="B91" s="361"/>
      <c r="C91" s="361"/>
      <c r="D91" s="361"/>
      <c r="E91" s="361"/>
      <c r="F91" s="361"/>
      <c r="G91" s="362"/>
      <c r="H91" s="361"/>
      <c r="I91" s="361"/>
      <c r="J91" s="361"/>
      <c r="K91" s="361"/>
      <c r="L91" s="361"/>
      <c r="M91" s="361"/>
      <c r="N91" s="361"/>
      <c r="O91" s="361"/>
      <c r="P91" s="361"/>
      <c r="Q91" s="361"/>
      <c r="R91" s="361"/>
      <c r="S91" s="361"/>
      <c r="T91" s="361"/>
      <c r="U91" s="361"/>
      <c r="V91" s="361"/>
      <c r="W91" s="361"/>
      <c r="X91" s="361"/>
      <c r="Y91" s="361"/>
      <c r="Z91" s="361"/>
      <c r="AA91" s="361"/>
      <c r="AB91" s="361"/>
      <c r="AC91" s="361"/>
      <c r="AD91" s="361"/>
      <c r="AE91" s="361"/>
      <c r="AF91" s="361"/>
      <c r="AG91" s="361"/>
      <c r="AH91" s="361"/>
    </row>
    <row r="92" spans="1:34" s="279" customFormat="1">
      <c r="A92" s="361"/>
      <c r="B92" s="361"/>
      <c r="C92" s="361"/>
      <c r="D92" s="361"/>
      <c r="E92" s="361"/>
      <c r="F92" s="361"/>
      <c r="G92" s="362"/>
      <c r="H92" s="361"/>
      <c r="I92" s="361"/>
      <c r="J92" s="361"/>
      <c r="K92" s="361"/>
      <c r="L92" s="361"/>
      <c r="M92" s="361"/>
      <c r="N92" s="361"/>
      <c r="O92" s="361"/>
      <c r="P92" s="361"/>
      <c r="Q92" s="361"/>
      <c r="R92" s="361"/>
      <c r="S92" s="361"/>
      <c r="T92" s="361"/>
      <c r="U92" s="361"/>
      <c r="V92" s="361"/>
      <c r="W92" s="361"/>
      <c r="X92" s="361"/>
      <c r="Y92" s="361"/>
      <c r="Z92" s="361"/>
      <c r="AA92" s="361"/>
      <c r="AB92" s="361"/>
      <c r="AC92" s="361"/>
      <c r="AD92" s="361"/>
      <c r="AE92" s="361"/>
      <c r="AF92" s="361"/>
      <c r="AG92" s="361"/>
      <c r="AH92" s="361"/>
    </row>
    <row r="93" spans="1:34" s="279" customFormat="1">
      <c r="A93" s="361"/>
      <c r="B93" s="361"/>
      <c r="C93" s="361"/>
      <c r="D93" s="361"/>
      <c r="E93" s="361"/>
      <c r="F93" s="361"/>
      <c r="G93" s="362"/>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row>
    <row r="94" spans="1:34" s="279" customFormat="1">
      <c r="A94" s="361"/>
      <c r="B94" s="361"/>
      <c r="C94" s="361"/>
      <c r="D94" s="361"/>
      <c r="E94" s="361"/>
      <c r="F94" s="361"/>
      <c r="G94" s="362"/>
      <c r="H94" s="361"/>
      <c r="I94" s="361"/>
      <c r="J94" s="361"/>
      <c r="K94" s="361"/>
      <c r="L94" s="361"/>
      <c r="M94" s="361"/>
      <c r="N94" s="361"/>
      <c r="O94" s="361"/>
      <c r="P94" s="361"/>
      <c r="Q94" s="361"/>
      <c r="R94" s="361"/>
      <c r="S94" s="361"/>
      <c r="T94" s="361"/>
      <c r="U94" s="361"/>
      <c r="V94" s="361"/>
      <c r="W94" s="361"/>
      <c r="X94" s="361"/>
      <c r="Y94" s="361"/>
      <c r="Z94" s="361"/>
      <c r="AA94" s="361"/>
      <c r="AB94" s="361"/>
      <c r="AC94" s="361"/>
      <c r="AD94" s="361"/>
      <c r="AE94" s="361"/>
      <c r="AF94" s="361"/>
      <c r="AG94" s="361"/>
      <c r="AH94" s="361"/>
    </row>
    <row r="95" spans="1:34" s="279" customFormat="1">
      <c r="A95" s="361"/>
      <c r="B95" s="361"/>
      <c r="C95" s="361"/>
      <c r="D95" s="361"/>
      <c r="E95" s="361"/>
      <c r="F95" s="361"/>
      <c r="G95" s="362"/>
      <c r="H95" s="361"/>
      <c r="I95" s="361"/>
      <c r="J95" s="361"/>
      <c r="K95" s="361"/>
      <c r="L95" s="361"/>
      <c r="M95" s="361"/>
      <c r="N95" s="361"/>
      <c r="O95" s="361"/>
      <c r="P95" s="361"/>
      <c r="Q95" s="361"/>
      <c r="R95" s="361"/>
      <c r="S95" s="361"/>
      <c r="T95" s="361"/>
      <c r="U95" s="361"/>
      <c r="V95" s="361"/>
      <c r="W95" s="361"/>
      <c r="X95" s="361"/>
      <c r="Y95" s="361"/>
      <c r="Z95" s="361"/>
      <c r="AA95" s="361"/>
      <c r="AB95" s="361"/>
      <c r="AC95" s="361"/>
      <c r="AD95" s="361"/>
      <c r="AE95" s="361"/>
      <c r="AF95" s="361"/>
      <c r="AG95" s="361"/>
      <c r="AH95" s="361"/>
    </row>
    <row r="96" spans="1:34" s="279" customFormat="1">
      <c r="A96" s="361"/>
      <c r="B96" s="361"/>
      <c r="C96" s="361"/>
      <c r="D96" s="361"/>
      <c r="E96" s="361"/>
      <c r="F96" s="361"/>
      <c r="G96" s="362"/>
      <c r="H96" s="361"/>
      <c r="I96" s="361"/>
      <c r="J96" s="361"/>
      <c r="K96" s="361"/>
      <c r="L96" s="361"/>
      <c r="M96" s="361"/>
      <c r="N96" s="361"/>
      <c r="O96" s="361"/>
      <c r="P96" s="361"/>
      <c r="Q96" s="361"/>
      <c r="R96" s="361"/>
      <c r="S96" s="361"/>
      <c r="T96" s="361"/>
      <c r="U96" s="361"/>
      <c r="V96" s="361"/>
      <c r="W96" s="361"/>
      <c r="X96" s="361"/>
      <c r="Y96" s="361"/>
      <c r="Z96" s="361"/>
      <c r="AA96" s="361"/>
      <c r="AB96" s="361"/>
      <c r="AC96" s="361"/>
      <c r="AD96" s="361"/>
      <c r="AE96" s="361"/>
      <c r="AF96" s="361"/>
      <c r="AG96" s="361"/>
      <c r="AH96" s="361"/>
    </row>
    <row r="97" spans="1:34" s="279" customFormat="1">
      <c r="A97" s="361"/>
      <c r="B97" s="361"/>
      <c r="C97" s="361"/>
      <c r="D97" s="361"/>
      <c r="E97" s="361"/>
      <c r="F97" s="361"/>
      <c r="G97" s="362"/>
      <c r="H97" s="361"/>
      <c r="I97" s="361"/>
      <c r="J97" s="361"/>
      <c r="K97" s="361"/>
      <c r="L97" s="361"/>
      <c r="M97" s="361"/>
      <c r="N97" s="361"/>
      <c r="O97" s="361"/>
      <c r="P97" s="361"/>
      <c r="Q97" s="361"/>
      <c r="R97" s="361"/>
      <c r="S97" s="361"/>
      <c r="T97" s="361"/>
      <c r="U97" s="361"/>
      <c r="V97" s="361"/>
      <c r="W97" s="361"/>
      <c r="X97" s="361"/>
      <c r="Y97" s="361"/>
      <c r="Z97" s="361"/>
      <c r="AA97" s="361"/>
      <c r="AB97" s="361"/>
      <c r="AC97" s="361"/>
      <c r="AD97" s="361"/>
      <c r="AE97" s="361"/>
      <c r="AF97" s="361"/>
      <c r="AG97" s="361"/>
      <c r="AH97" s="361"/>
    </row>
    <row r="98" spans="1:34">
      <c r="A98" s="276"/>
      <c r="B98" s="276"/>
      <c r="C98" s="276"/>
      <c r="D98" s="276"/>
      <c r="E98" s="276"/>
      <c r="F98" s="276"/>
      <c r="G98" s="362"/>
      <c r="H98" s="361"/>
      <c r="I98" s="276"/>
      <c r="J98" s="276"/>
      <c r="K98" s="276"/>
      <c r="L98" s="276"/>
      <c r="M98" s="276"/>
      <c r="N98" s="276"/>
      <c r="O98" s="276"/>
      <c r="P98" s="276"/>
      <c r="Q98" s="276"/>
      <c r="R98" s="276"/>
      <c r="S98" s="276"/>
      <c r="T98" s="276"/>
      <c r="U98" s="276"/>
      <c r="V98" s="276"/>
      <c r="W98" s="276"/>
      <c r="X98" s="276"/>
      <c r="Y98" s="276"/>
      <c r="Z98" s="276"/>
      <c r="AA98" s="276"/>
      <c r="AB98" s="276"/>
      <c r="AC98" s="276"/>
      <c r="AD98" s="276"/>
      <c r="AE98" s="276"/>
      <c r="AF98" s="276"/>
      <c r="AG98" s="276"/>
      <c r="AH98" s="276"/>
    </row>
    <row r="99" spans="1:34">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c r="AF99" s="276"/>
      <c r="AG99" s="276"/>
      <c r="AH99" s="276"/>
    </row>
    <row r="100" spans="1:34">
      <c r="A100" s="31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c r="AE100" s="276"/>
      <c r="AF100" s="276"/>
      <c r="AG100" s="276"/>
      <c r="AH100" s="276"/>
    </row>
    <row r="101" spans="1:34">
      <c r="A101" s="1409"/>
      <c r="B101" s="1409"/>
      <c r="C101" s="356"/>
      <c r="D101" s="356"/>
      <c r="E101" s="356"/>
      <c r="F101" s="356"/>
      <c r="G101" s="356"/>
      <c r="H101" s="356"/>
      <c r="I101" s="356"/>
      <c r="J101" s="276"/>
      <c r="K101" s="276"/>
      <c r="L101" s="276"/>
      <c r="M101" s="276"/>
      <c r="N101" s="276"/>
      <c r="O101" s="276"/>
      <c r="P101" s="276"/>
      <c r="Q101" s="276"/>
      <c r="R101" s="276"/>
      <c r="S101" s="276"/>
      <c r="T101" s="276"/>
      <c r="U101" s="276"/>
      <c r="V101" s="276"/>
      <c r="W101" s="276"/>
      <c r="X101" s="276"/>
      <c r="Y101" s="276"/>
      <c r="Z101" s="276"/>
      <c r="AA101" s="276"/>
      <c r="AB101" s="276"/>
      <c r="AC101" s="276"/>
      <c r="AD101" s="276"/>
      <c r="AE101" s="276"/>
      <c r="AF101" s="276"/>
      <c r="AG101" s="276"/>
      <c r="AH101" s="276"/>
    </row>
    <row r="102" spans="1:34" s="279" customFormat="1">
      <c r="A102" s="361"/>
      <c r="B102" s="361"/>
      <c r="C102" s="361"/>
      <c r="D102" s="361"/>
      <c r="E102" s="361"/>
      <c r="F102" s="361"/>
      <c r="G102" s="363"/>
      <c r="H102" s="363"/>
      <c r="I102" s="363"/>
      <c r="J102" s="361"/>
      <c r="K102" s="361"/>
      <c r="L102" s="361"/>
      <c r="M102" s="361"/>
      <c r="N102" s="361"/>
      <c r="O102" s="361"/>
      <c r="P102" s="361"/>
      <c r="Q102" s="361"/>
      <c r="R102" s="361"/>
      <c r="S102" s="361"/>
      <c r="T102" s="361"/>
      <c r="U102" s="361"/>
      <c r="V102" s="361"/>
      <c r="W102" s="361"/>
      <c r="X102" s="361"/>
      <c r="Y102" s="361"/>
      <c r="Z102" s="361"/>
      <c r="AA102" s="361"/>
      <c r="AB102" s="361"/>
      <c r="AC102" s="361"/>
      <c r="AD102" s="361"/>
      <c r="AE102" s="361"/>
      <c r="AF102" s="361"/>
      <c r="AG102" s="361"/>
      <c r="AH102" s="361"/>
    </row>
    <row r="103" spans="1:34" s="279" customFormat="1">
      <c r="A103" s="361"/>
      <c r="B103" s="361"/>
      <c r="C103" s="361"/>
      <c r="D103" s="361"/>
      <c r="E103" s="361"/>
      <c r="F103" s="361"/>
      <c r="G103" s="363"/>
      <c r="H103" s="363"/>
      <c r="I103" s="363"/>
      <c r="J103" s="361"/>
      <c r="K103" s="361"/>
      <c r="L103" s="361"/>
      <c r="M103" s="361"/>
      <c r="N103" s="361"/>
      <c r="O103" s="361"/>
      <c r="P103" s="361"/>
      <c r="Q103" s="361"/>
      <c r="R103" s="361"/>
      <c r="S103" s="361"/>
      <c r="T103" s="361"/>
      <c r="U103" s="361"/>
      <c r="V103" s="361"/>
      <c r="W103" s="361"/>
      <c r="X103" s="361"/>
      <c r="Y103" s="361"/>
      <c r="Z103" s="361"/>
      <c r="AA103" s="361"/>
      <c r="AB103" s="361"/>
      <c r="AC103" s="361"/>
      <c r="AD103" s="361"/>
      <c r="AE103" s="361"/>
      <c r="AF103" s="361"/>
      <c r="AG103" s="361"/>
      <c r="AH103" s="361"/>
    </row>
    <row r="104" spans="1:34" s="279" customFormat="1">
      <c r="A104" s="361"/>
      <c r="B104" s="361"/>
      <c r="C104" s="361"/>
      <c r="D104" s="361"/>
      <c r="E104" s="361"/>
      <c r="F104" s="361"/>
      <c r="G104" s="363"/>
      <c r="H104" s="363"/>
      <c r="I104" s="363"/>
      <c r="J104" s="361"/>
      <c r="K104" s="361"/>
      <c r="L104" s="361"/>
      <c r="M104" s="361"/>
      <c r="N104" s="361"/>
      <c r="O104" s="361"/>
      <c r="P104" s="361"/>
      <c r="Q104" s="361"/>
      <c r="R104" s="361"/>
      <c r="S104" s="361"/>
      <c r="T104" s="361"/>
      <c r="U104" s="361"/>
      <c r="V104" s="361"/>
      <c r="W104" s="361"/>
      <c r="X104" s="361"/>
      <c r="Y104" s="361"/>
      <c r="Z104" s="361"/>
      <c r="AA104" s="361"/>
      <c r="AB104" s="361"/>
      <c r="AC104" s="361"/>
      <c r="AD104" s="361"/>
      <c r="AE104" s="361"/>
      <c r="AF104" s="361"/>
      <c r="AG104" s="361"/>
      <c r="AH104" s="361"/>
    </row>
    <row r="105" spans="1:34" s="279" customFormat="1">
      <c r="A105" s="361"/>
      <c r="B105" s="361"/>
      <c r="C105" s="361"/>
      <c r="D105" s="361"/>
      <c r="E105" s="361"/>
      <c r="F105" s="361"/>
      <c r="G105" s="363"/>
      <c r="H105" s="363"/>
      <c r="I105" s="363"/>
      <c r="J105" s="361"/>
      <c r="K105" s="361"/>
      <c r="L105" s="361"/>
      <c r="M105" s="361"/>
      <c r="N105" s="361"/>
      <c r="O105" s="361"/>
      <c r="P105" s="361"/>
      <c r="Q105" s="361"/>
      <c r="R105" s="361"/>
      <c r="S105" s="361"/>
      <c r="T105" s="361"/>
      <c r="U105" s="361"/>
      <c r="V105" s="361"/>
      <c r="W105" s="361"/>
      <c r="X105" s="361"/>
      <c r="Y105" s="361"/>
      <c r="Z105" s="361"/>
      <c r="AA105" s="361"/>
      <c r="AB105" s="361"/>
      <c r="AC105" s="361"/>
      <c r="AD105" s="361"/>
      <c r="AE105" s="361"/>
      <c r="AF105" s="361"/>
      <c r="AG105" s="361"/>
      <c r="AH105" s="361"/>
    </row>
    <row r="106" spans="1:34" s="279" customFormat="1">
      <c r="A106" s="361"/>
      <c r="B106" s="361"/>
      <c r="C106" s="361"/>
      <c r="D106" s="361"/>
      <c r="E106" s="361"/>
      <c r="F106" s="361"/>
      <c r="G106" s="363"/>
      <c r="H106" s="363"/>
      <c r="I106" s="363"/>
      <c r="J106" s="361"/>
      <c r="K106" s="361"/>
      <c r="L106" s="361"/>
      <c r="M106" s="361"/>
      <c r="N106" s="361"/>
      <c r="O106" s="361"/>
      <c r="P106" s="361"/>
      <c r="Q106" s="361"/>
      <c r="R106" s="361"/>
      <c r="S106" s="361"/>
      <c r="T106" s="361"/>
      <c r="U106" s="361"/>
      <c r="V106" s="361"/>
      <c r="W106" s="361"/>
      <c r="X106" s="361"/>
      <c r="Y106" s="361"/>
      <c r="Z106" s="361"/>
      <c r="AA106" s="361"/>
      <c r="AB106" s="361"/>
      <c r="AC106" s="361"/>
      <c r="AD106" s="361"/>
      <c r="AE106" s="361"/>
      <c r="AF106" s="361"/>
      <c r="AG106" s="361"/>
      <c r="AH106" s="361"/>
    </row>
    <row r="107" spans="1:34" s="279" customFormat="1">
      <c r="A107" s="361"/>
      <c r="B107" s="361"/>
      <c r="C107" s="361"/>
      <c r="D107" s="361"/>
      <c r="E107" s="361"/>
      <c r="F107" s="361"/>
      <c r="G107" s="363"/>
      <c r="H107" s="363"/>
      <c r="I107" s="363"/>
      <c r="J107" s="361"/>
      <c r="K107" s="361"/>
      <c r="L107" s="361"/>
      <c r="M107" s="361"/>
      <c r="N107" s="361"/>
      <c r="O107" s="361"/>
      <c r="P107" s="361"/>
      <c r="Q107" s="361"/>
      <c r="R107" s="361"/>
      <c r="S107" s="361"/>
      <c r="T107" s="361"/>
      <c r="U107" s="361"/>
      <c r="V107" s="361"/>
      <c r="W107" s="361"/>
      <c r="X107" s="361"/>
      <c r="Y107" s="361"/>
      <c r="Z107" s="361"/>
      <c r="AA107" s="361"/>
      <c r="AB107" s="361"/>
      <c r="AC107" s="361"/>
      <c r="AD107" s="361"/>
      <c r="AE107" s="361"/>
      <c r="AF107" s="361"/>
      <c r="AG107" s="361"/>
      <c r="AH107" s="361"/>
    </row>
    <row r="108" spans="1:34" s="279" customFormat="1">
      <c r="A108" s="361"/>
      <c r="B108" s="361"/>
      <c r="C108" s="361"/>
      <c r="D108" s="361"/>
      <c r="E108" s="361"/>
      <c r="F108" s="361"/>
      <c r="G108" s="363"/>
      <c r="H108" s="363"/>
      <c r="I108" s="363"/>
      <c r="J108" s="361"/>
      <c r="K108" s="361"/>
      <c r="L108" s="361"/>
      <c r="M108" s="361"/>
      <c r="N108" s="361"/>
      <c r="O108" s="361"/>
      <c r="P108" s="361"/>
      <c r="Q108" s="361"/>
      <c r="R108" s="361"/>
      <c r="S108" s="361"/>
      <c r="T108" s="361"/>
      <c r="U108" s="361"/>
      <c r="V108" s="361"/>
      <c r="W108" s="361"/>
      <c r="X108" s="361"/>
      <c r="Y108" s="361"/>
      <c r="Z108" s="361"/>
      <c r="AA108" s="361"/>
      <c r="AB108" s="361"/>
      <c r="AC108" s="361"/>
      <c r="AD108" s="361"/>
      <c r="AE108" s="361"/>
      <c r="AF108" s="361"/>
      <c r="AG108" s="361"/>
      <c r="AH108" s="361"/>
    </row>
    <row r="109" spans="1:34" s="279" customFormat="1">
      <c r="A109" s="361"/>
      <c r="B109" s="361"/>
      <c r="C109" s="361"/>
      <c r="D109" s="361"/>
      <c r="E109" s="361"/>
      <c r="F109" s="361"/>
      <c r="G109" s="363"/>
      <c r="H109" s="363"/>
      <c r="I109" s="363"/>
      <c r="J109" s="361"/>
      <c r="K109" s="361"/>
      <c r="L109" s="361"/>
      <c r="M109" s="361"/>
      <c r="N109" s="361"/>
      <c r="O109" s="361"/>
      <c r="P109" s="361"/>
      <c r="Q109" s="361"/>
      <c r="R109" s="361"/>
      <c r="S109" s="361"/>
      <c r="T109" s="361"/>
      <c r="U109" s="361"/>
      <c r="V109" s="361"/>
      <c r="W109" s="361"/>
      <c r="X109" s="361"/>
      <c r="Y109" s="361"/>
      <c r="Z109" s="361"/>
      <c r="AA109" s="361"/>
      <c r="AB109" s="361"/>
      <c r="AC109" s="361"/>
      <c r="AD109" s="361"/>
      <c r="AE109" s="361"/>
      <c r="AF109" s="361"/>
      <c r="AG109" s="361"/>
      <c r="AH109" s="361"/>
    </row>
    <row r="110" spans="1:34" s="279" customFormat="1">
      <c r="A110" s="361"/>
      <c r="B110" s="361"/>
      <c r="C110" s="361"/>
      <c r="D110" s="361"/>
      <c r="E110" s="361"/>
      <c r="F110" s="361"/>
      <c r="G110" s="363"/>
      <c r="H110" s="363"/>
      <c r="I110" s="363"/>
      <c r="J110" s="361"/>
      <c r="K110" s="361"/>
      <c r="L110" s="361"/>
      <c r="M110" s="361"/>
      <c r="N110" s="361"/>
      <c r="O110" s="361"/>
      <c r="P110" s="361"/>
      <c r="Q110" s="361"/>
      <c r="R110" s="361"/>
      <c r="S110" s="361"/>
      <c r="T110" s="361"/>
      <c r="U110" s="361"/>
      <c r="V110" s="361"/>
      <c r="W110" s="361"/>
      <c r="X110" s="361"/>
      <c r="Y110" s="361"/>
      <c r="Z110" s="361"/>
      <c r="AA110" s="361"/>
      <c r="AB110" s="361"/>
      <c r="AC110" s="361"/>
      <c r="AD110" s="361"/>
      <c r="AE110" s="361"/>
      <c r="AF110" s="361"/>
      <c r="AG110" s="361"/>
      <c r="AH110" s="361"/>
    </row>
    <row r="111" spans="1:34" s="279" customFormat="1">
      <c r="A111" s="364"/>
      <c r="B111" s="364"/>
      <c r="C111" s="364"/>
      <c r="D111" s="364"/>
      <c r="E111" s="364"/>
      <c r="F111" s="364"/>
      <c r="G111" s="365"/>
      <c r="H111" s="365"/>
      <c r="I111" s="365"/>
      <c r="J111" s="361"/>
      <c r="K111" s="361"/>
      <c r="L111" s="361"/>
      <c r="M111" s="361"/>
      <c r="N111" s="361"/>
      <c r="O111" s="361"/>
      <c r="P111" s="361"/>
      <c r="Q111" s="361"/>
      <c r="R111" s="361"/>
      <c r="S111" s="361"/>
      <c r="T111" s="361"/>
      <c r="U111" s="361"/>
      <c r="V111" s="361"/>
      <c r="W111" s="361"/>
      <c r="X111" s="361"/>
      <c r="Y111" s="361"/>
      <c r="Z111" s="361"/>
      <c r="AA111" s="361"/>
      <c r="AB111" s="361"/>
      <c r="AC111" s="361"/>
      <c r="AD111" s="361"/>
      <c r="AE111" s="361"/>
      <c r="AF111" s="361"/>
      <c r="AG111" s="361"/>
      <c r="AH111" s="361"/>
    </row>
    <row r="112" spans="1:34" s="279" customFormat="1">
      <c r="A112" s="361"/>
      <c r="B112" s="361"/>
      <c r="C112" s="361"/>
      <c r="D112" s="361"/>
      <c r="E112" s="361"/>
      <c r="F112" s="361"/>
      <c r="G112" s="363"/>
      <c r="H112" s="363"/>
      <c r="I112" s="363"/>
      <c r="J112" s="361"/>
      <c r="K112" s="361"/>
      <c r="L112" s="361"/>
      <c r="M112" s="361"/>
      <c r="N112" s="361"/>
      <c r="O112" s="361"/>
      <c r="P112" s="361"/>
      <c r="Q112" s="361"/>
      <c r="R112" s="361"/>
      <c r="S112" s="361"/>
      <c r="T112" s="361"/>
      <c r="U112" s="361"/>
      <c r="V112" s="361"/>
      <c r="W112" s="361"/>
      <c r="X112" s="361"/>
      <c r="Y112" s="361"/>
      <c r="Z112" s="361"/>
      <c r="AA112" s="361"/>
      <c r="AB112" s="361"/>
      <c r="AC112" s="361"/>
      <c r="AD112" s="361"/>
      <c r="AE112" s="361"/>
      <c r="AF112" s="361"/>
      <c r="AG112" s="361"/>
      <c r="AH112" s="361"/>
    </row>
    <row r="113" spans="1:34">
      <c r="A113" s="276"/>
      <c r="B113" s="276"/>
      <c r="C113" s="276"/>
      <c r="D113" s="276"/>
      <c r="E113" s="276"/>
      <c r="F113" s="276"/>
      <c r="G113" s="363"/>
      <c r="H113" s="363"/>
      <c r="I113" s="363"/>
      <c r="J113" s="276"/>
      <c r="K113" s="276"/>
      <c r="L113" s="276"/>
      <c r="M113" s="276"/>
      <c r="N113" s="276"/>
      <c r="O113" s="276"/>
      <c r="P113" s="276"/>
      <c r="Q113" s="276"/>
      <c r="R113" s="276"/>
      <c r="S113" s="276"/>
      <c r="T113" s="276"/>
      <c r="U113" s="276"/>
      <c r="V113" s="276"/>
      <c r="W113" s="276"/>
      <c r="X113" s="276"/>
      <c r="Y113" s="276"/>
      <c r="Z113" s="276"/>
      <c r="AA113" s="276"/>
      <c r="AB113" s="276"/>
      <c r="AC113" s="276"/>
      <c r="AD113" s="276"/>
      <c r="AE113" s="276"/>
      <c r="AF113" s="276"/>
      <c r="AG113" s="276"/>
      <c r="AH113" s="276"/>
    </row>
    <row r="114" spans="1:34">
      <c r="A114" s="364"/>
      <c r="B114" s="364"/>
      <c r="C114" s="364"/>
      <c r="D114" s="364"/>
      <c r="E114" s="364"/>
      <c r="F114" s="364"/>
      <c r="G114" s="365"/>
      <c r="H114" s="365"/>
      <c r="I114" s="365"/>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276"/>
      <c r="AF114" s="276"/>
      <c r="AG114" s="276"/>
      <c r="AH114" s="276"/>
    </row>
    <row r="115" spans="1:34">
      <c r="A115" s="316"/>
      <c r="B115" s="316"/>
      <c r="C115" s="316"/>
      <c r="D115" s="316"/>
      <c r="E115" s="316"/>
      <c r="F115" s="316"/>
      <c r="G115" s="366"/>
      <c r="H115" s="366"/>
      <c r="I115" s="366"/>
      <c r="J115" s="276"/>
      <c r="K115" s="276"/>
      <c r="L115" s="276"/>
      <c r="M115" s="276"/>
      <c r="N115" s="276"/>
      <c r="O115" s="276"/>
      <c r="P115" s="276"/>
      <c r="Q115" s="276"/>
      <c r="R115" s="276"/>
      <c r="S115" s="276"/>
      <c r="T115" s="276"/>
      <c r="U115" s="276"/>
      <c r="V115" s="276"/>
      <c r="W115" s="276"/>
      <c r="X115" s="276"/>
      <c r="Y115" s="276"/>
      <c r="Z115" s="276"/>
      <c r="AA115" s="276"/>
      <c r="AB115" s="276"/>
      <c r="AC115" s="276"/>
      <c r="AD115" s="276"/>
      <c r="AE115" s="276"/>
      <c r="AF115" s="276"/>
      <c r="AG115" s="276"/>
      <c r="AH115" s="276"/>
    </row>
    <row r="116" spans="1:34">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c r="AE116" s="276"/>
      <c r="AF116" s="276"/>
      <c r="AG116" s="276"/>
      <c r="AH116" s="276"/>
    </row>
    <row r="117" spans="1:34">
      <c r="A117" s="316"/>
      <c r="B117" s="276"/>
      <c r="C117" s="276"/>
      <c r="D117" s="276"/>
      <c r="E117" s="276"/>
      <c r="F117" s="276"/>
      <c r="G117" s="367"/>
      <c r="H117" s="367"/>
      <c r="I117" s="367"/>
      <c r="J117" s="276"/>
      <c r="K117" s="276"/>
      <c r="L117" s="276"/>
      <c r="M117" s="276"/>
      <c r="N117" s="276"/>
      <c r="O117" s="276"/>
      <c r="P117" s="276"/>
      <c r="Q117" s="276"/>
      <c r="R117" s="276"/>
      <c r="S117" s="276"/>
      <c r="T117" s="276"/>
      <c r="U117" s="276"/>
      <c r="V117" s="276"/>
      <c r="W117" s="276"/>
      <c r="X117" s="276"/>
      <c r="Y117" s="276"/>
      <c r="Z117" s="276"/>
      <c r="AA117" s="276"/>
      <c r="AB117" s="276"/>
      <c r="AC117" s="276"/>
      <c r="AD117" s="276"/>
      <c r="AE117" s="276"/>
      <c r="AF117" s="276"/>
      <c r="AG117" s="276"/>
      <c r="AH117" s="276"/>
    </row>
    <row r="118" spans="1:34">
      <c r="A118" s="316"/>
      <c r="B118" s="276"/>
      <c r="C118" s="276"/>
      <c r="D118" s="276"/>
      <c r="E118" s="276"/>
      <c r="F118" s="276"/>
      <c r="G118" s="367"/>
      <c r="H118" s="367"/>
      <c r="I118" s="366"/>
      <c r="J118" s="276"/>
      <c r="K118" s="276"/>
      <c r="L118" s="276"/>
      <c r="M118" s="276"/>
      <c r="N118" s="276"/>
      <c r="O118" s="276"/>
      <c r="P118" s="276"/>
      <c r="Q118" s="276"/>
      <c r="R118" s="276"/>
      <c r="S118" s="276"/>
      <c r="T118" s="276"/>
      <c r="U118" s="276"/>
      <c r="V118" s="276"/>
      <c r="W118" s="276"/>
      <c r="X118" s="276"/>
      <c r="Y118" s="276"/>
      <c r="Z118" s="276"/>
      <c r="AA118" s="276"/>
      <c r="AB118" s="276"/>
      <c r="AC118" s="276"/>
      <c r="AD118" s="276"/>
      <c r="AE118" s="276"/>
      <c r="AF118" s="276"/>
      <c r="AG118" s="276"/>
      <c r="AH118" s="276"/>
    </row>
    <row r="119" spans="1:34">
      <c r="A119" s="316"/>
      <c r="B119" s="316"/>
      <c r="C119" s="316"/>
      <c r="D119" s="316"/>
      <c r="E119" s="316"/>
      <c r="F119" s="316"/>
      <c r="G119" s="316"/>
      <c r="H119" s="367"/>
      <c r="I119" s="368"/>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276"/>
      <c r="AF119" s="276"/>
      <c r="AG119" s="276"/>
      <c r="AH119" s="276"/>
    </row>
    <row r="120" spans="1:34">
      <c r="A120" s="316"/>
      <c r="B120" s="316"/>
      <c r="C120" s="316"/>
      <c r="D120" s="316"/>
      <c r="E120" s="316"/>
      <c r="F120" s="316"/>
      <c r="G120" s="316"/>
      <c r="H120" s="367"/>
      <c r="I120" s="36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276"/>
      <c r="AF120" s="276"/>
      <c r="AG120" s="276"/>
      <c r="AH120" s="276"/>
    </row>
    <row r="121" spans="1:34">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276"/>
      <c r="AF121" s="276"/>
      <c r="AG121" s="276"/>
      <c r="AH121" s="276"/>
    </row>
    <row r="122" spans="1:34">
      <c r="A122" s="369"/>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c r="AE122" s="276"/>
      <c r="AF122" s="276"/>
      <c r="AG122" s="276"/>
      <c r="AH122" s="276"/>
    </row>
    <row r="123" spans="1:34">
      <c r="A123" s="369"/>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c r="AE123" s="276"/>
      <c r="AF123" s="276"/>
      <c r="AG123" s="276"/>
      <c r="AH123" s="276"/>
    </row>
    <row r="124" spans="1:34">
      <c r="A124" s="370"/>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c r="AF124" s="276"/>
      <c r="AG124" s="276"/>
      <c r="AH124" s="276"/>
    </row>
    <row r="125" spans="1:34">
      <c r="A125" s="369"/>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c r="AE125" s="276"/>
      <c r="AF125" s="276"/>
      <c r="AG125" s="276"/>
      <c r="AH125" s="276"/>
    </row>
    <row r="126" spans="1:34">
      <c r="A126" s="370"/>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c r="AE126" s="276"/>
      <c r="AF126" s="276"/>
      <c r="AG126" s="276"/>
      <c r="AH126" s="276"/>
    </row>
    <row r="127" spans="1:34">
      <c r="A127" s="369"/>
      <c r="B127" s="369"/>
      <c r="C127" s="369"/>
      <c r="D127" s="369"/>
      <c r="E127" s="369"/>
      <c r="F127" s="369"/>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c r="AE127" s="276"/>
      <c r="AF127" s="276"/>
      <c r="AG127" s="276"/>
      <c r="AH127" s="276"/>
    </row>
    <row r="128" spans="1:34">
      <c r="A128" s="369"/>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c r="AF128" s="276"/>
      <c r="AG128" s="276"/>
      <c r="AH128" s="276"/>
    </row>
    <row r="129" spans="1:34">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276"/>
      <c r="AF129" s="276"/>
      <c r="AG129" s="276"/>
      <c r="AH129" s="276"/>
    </row>
    <row r="130" spans="1:34">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c r="AE130" s="276"/>
      <c r="AF130" s="276"/>
      <c r="AG130" s="276"/>
      <c r="AH130" s="276"/>
    </row>
    <row r="131" spans="1:34">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c r="AE131" s="276"/>
      <c r="AF131" s="276"/>
      <c r="AG131" s="276"/>
      <c r="AH131" s="276"/>
    </row>
    <row r="132" spans="1:34">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c r="AE132" s="276"/>
      <c r="AF132" s="276"/>
      <c r="AG132" s="276"/>
      <c r="AH132" s="276"/>
    </row>
    <row r="133" spans="1:34">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276"/>
      <c r="AF133" s="276"/>
      <c r="AG133" s="276"/>
      <c r="AH133" s="276"/>
    </row>
    <row r="134" spans="1:34">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c r="AE134" s="276"/>
      <c r="AF134" s="276"/>
      <c r="AG134" s="276"/>
      <c r="AH134" s="276"/>
    </row>
    <row r="135" spans="1:34">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c r="AE135" s="276"/>
      <c r="AF135" s="276"/>
      <c r="AG135" s="276"/>
      <c r="AH135" s="276"/>
    </row>
    <row r="136" spans="1:34">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c r="AE136" s="276"/>
      <c r="AF136" s="276"/>
      <c r="AG136" s="276"/>
      <c r="AH136" s="276"/>
    </row>
    <row r="137" spans="1:34">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c r="AE137" s="276"/>
      <c r="AF137" s="276"/>
      <c r="AG137" s="276"/>
      <c r="AH137" s="276"/>
    </row>
    <row r="138" spans="1:34">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c r="AE138" s="276"/>
      <c r="AF138" s="276"/>
      <c r="AG138" s="276"/>
      <c r="AH138" s="276"/>
    </row>
    <row r="139" spans="1:34">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c r="AE139" s="276"/>
      <c r="AF139" s="276"/>
      <c r="AG139" s="276"/>
      <c r="AH139" s="276"/>
    </row>
    <row r="140" spans="1:34">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c r="AE140" s="276"/>
      <c r="AF140" s="276"/>
      <c r="AG140" s="276"/>
      <c r="AH140" s="276"/>
    </row>
    <row r="141" spans="1:34">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c r="AE141" s="276"/>
      <c r="AF141" s="276"/>
      <c r="AG141" s="276"/>
      <c r="AH141" s="276"/>
    </row>
    <row r="142" spans="1:34">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276"/>
      <c r="AF142" s="276"/>
      <c r="AG142" s="276"/>
      <c r="AH142" s="276"/>
    </row>
    <row r="143" spans="1:34">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276"/>
      <c r="AF143" s="276"/>
      <c r="AG143" s="276"/>
      <c r="AH143" s="276"/>
    </row>
    <row r="144" spans="1:34">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276"/>
      <c r="AF144" s="276"/>
      <c r="AG144" s="276"/>
      <c r="AH144" s="276"/>
    </row>
    <row r="145" spans="1:34">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c r="AE145" s="276"/>
      <c r="AF145" s="276"/>
      <c r="AG145" s="276"/>
      <c r="AH145" s="276"/>
    </row>
    <row r="146" spans="1:34">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c r="AE146" s="276"/>
      <c r="AF146" s="276"/>
      <c r="AG146" s="276"/>
      <c r="AH146" s="276"/>
    </row>
    <row r="147" spans="1:34">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c r="AE147" s="276"/>
      <c r="AF147" s="276"/>
      <c r="AG147" s="276"/>
      <c r="AH147" s="276"/>
    </row>
    <row r="148" spans="1:34">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c r="AE148" s="276"/>
      <c r="AF148" s="276"/>
      <c r="AG148" s="276"/>
      <c r="AH148" s="276"/>
    </row>
    <row r="149" spans="1:34">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276"/>
      <c r="AF149" s="276"/>
      <c r="AG149" s="276"/>
      <c r="AH149" s="276"/>
    </row>
    <row r="150" spans="1:34">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276"/>
      <c r="AF150" s="276"/>
      <c r="AG150" s="276"/>
      <c r="AH150" s="276"/>
    </row>
    <row r="151" spans="1:34">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c r="AE151" s="276"/>
      <c r="AF151" s="276"/>
      <c r="AG151" s="276"/>
      <c r="AH151" s="276"/>
    </row>
    <row r="152" spans="1:34">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276"/>
      <c r="AF152" s="276"/>
      <c r="AG152" s="276"/>
      <c r="AH152" s="276"/>
    </row>
    <row r="153" spans="1:34">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6"/>
      <c r="AF153" s="276"/>
      <c r="AG153" s="276"/>
      <c r="AH153" s="276"/>
    </row>
    <row r="154" spans="1:34">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c r="AE154" s="276"/>
      <c r="AF154" s="276"/>
      <c r="AG154" s="276"/>
      <c r="AH154" s="276"/>
    </row>
    <row r="155" spans="1:34">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c r="AE155" s="276"/>
      <c r="AF155" s="276"/>
      <c r="AG155" s="276"/>
      <c r="AH155" s="276"/>
    </row>
    <row r="156" spans="1:34">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276"/>
      <c r="AF156" s="276"/>
      <c r="AG156" s="276"/>
      <c r="AH156" s="276"/>
    </row>
    <row r="157" spans="1:34">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c r="AE157" s="276"/>
      <c r="AF157" s="276"/>
      <c r="AG157" s="276"/>
      <c r="AH157" s="276"/>
    </row>
    <row r="158" spans="1:34">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276"/>
      <c r="AF158" s="276"/>
      <c r="AG158" s="276"/>
      <c r="AH158" s="276"/>
    </row>
    <row r="159" spans="1:34">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276"/>
      <c r="AF159" s="276"/>
      <c r="AG159" s="276"/>
      <c r="AH159" s="276"/>
    </row>
    <row r="160" spans="1:34">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row>
    <row r="161" spans="1:34">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row>
    <row r="162" spans="1:34">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276"/>
      <c r="AF162" s="276"/>
      <c r="AG162" s="276"/>
      <c r="AH162" s="276"/>
    </row>
    <row r="163" spans="1:34">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c r="AE163" s="276"/>
      <c r="AF163" s="276"/>
      <c r="AG163" s="276"/>
      <c r="AH163" s="276"/>
    </row>
    <row r="164" spans="1:34">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c r="AE164" s="276"/>
      <c r="AF164" s="276"/>
      <c r="AG164" s="276"/>
      <c r="AH164" s="276"/>
    </row>
    <row r="165" spans="1:34">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c r="AE165" s="276"/>
      <c r="AF165" s="276"/>
      <c r="AG165" s="276"/>
      <c r="AH165" s="276"/>
    </row>
    <row r="166" spans="1:34">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c r="AE166" s="276"/>
      <c r="AF166" s="276"/>
      <c r="AG166" s="276"/>
      <c r="AH166" s="276"/>
    </row>
    <row r="167" spans="1:34">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c r="AE167" s="276"/>
      <c r="AF167" s="276"/>
      <c r="AG167" s="276"/>
      <c r="AH167" s="276"/>
    </row>
    <row r="168" spans="1:34">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c r="AE168" s="276"/>
      <c r="AF168" s="276"/>
      <c r="AG168" s="276"/>
      <c r="AH168" s="276"/>
    </row>
    <row r="169" spans="1:34">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76"/>
      <c r="AE169" s="276"/>
      <c r="AF169" s="276"/>
      <c r="AG169" s="276"/>
      <c r="AH169" s="276"/>
    </row>
    <row r="170" spans="1:34">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76"/>
      <c r="AE170" s="276"/>
      <c r="AF170" s="276"/>
      <c r="AG170" s="276"/>
      <c r="AH170" s="276"/>
    </row>
    <row r="171" spans="1:34">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c r="AE171" s="276"/>
      <c r="AF171" s="276"/>
      <c r="AG171" s="276"/>
      <c r="AH171" s="276"/>
    </row>
    <row r="172" spans="1:34">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c r="AE172" s="276"/>
      <c r="AF172" s="276"/>
      <c r="AG172" s="276"/>
      <c r="AH172" s="276"/>
    </row>
    <row r="173" spans="1:34">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c r="AE173" s="276"/>
      <c r="AF173" s="276"/>
      <c r="AG173" s="276"/>
      <c r="AH173" s="276"/>
    </row>
    <row r="174" spans="1:34">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76"/>
      <c r="AE174" s="276"/>
      <c r="AF174" s="276"/>
      <c r="AG174" s="276"/>
      <c r="AH174" s="276"/>
    </row>
    <row r="175" spans="1:34">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c r="AE175" s="276"/>
      <c r="AF175" s="276"/>
      <c r="AG175" s="276"/>
      <c r="AH175" s="276"/>
    </row>
    <row r="176" spans="1:34">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276"/>
      <c r="AF176" s="276"/>
      <c r="AG176" s="276"/>
      <c r="AH176" s="276"/>
    </row>
    <row r="177" spans="1:34">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c r="AE177" s="276"/>
      <c r="AF177" s="276"/>
      <c r="AG177" s="276"/>
      <c r="AH177" s="276"/>
    </row>
    <row r="178" spans="1:34">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c r="AE178" s="276"/>
      <c r="AF178" s="276"/>
      <c r="AG178" s="276"/>
      <c r="AH178" s="276"/>
    </row>
    <row r="179" spans="1:34">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c r="AE179" s="276"/>
      <c r="AF179" s="276"/>
      <c r="AG179" s="276"/>
      <c r="AH179" s="276"/>
    </row>
    <row r="180" spans="1:34">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c r="AE180" s="276"/>
      <c r="AF180" s="276"/>
      <c r="AG180" s="276"/>
      <c r="AH180" s="276"/>
    </row>
    <row r="181" spans="1:34">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276"/>
      <c r="AF181" s="276"/>
      <c r="AG181" s="276"/>
      <c r="AH181" s="276"/>
    </row>
    <row r="182" spans="1:34">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c r="AE182" s="276"/>
      <c r="AF182" s="276"/>
      <c r="AG182" s="276"/>
      <c r="AH182" s="276"/>
    </row>
    <row r="183" spans="1:34">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76"/>
      <c r="AE183" s="276"/>
      <c r="AF183" s="276"/>
      <c r="AG183" s="276"/>
      <c r="AH183" s="276"/>
    </row>
    <row r="184" spans="1:34">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c r="AE184" s="276"/>
      <c r="AF184" s="276"/>
      <c r="AG184" s="276"/>
      <c r="AH184" s="276"/>
    </row>
    <row r="185" spans="1:34">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276"/>
      <c r="AF185" s="276"/>
      <c r="AG185" s="276"/>
      <c r="AH185" s="276"/>
    </row>
    <row r="186" spans="1:34">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276"/>
      <c r="AF186" s="276"/>
      <c r="AG186" s="276"/>
      <c r="AH186" s="276"/>
    </row>
    <row r="187" spans="1:34">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c r="AE187" s="276"/>
      <c r="AF187" s="276"/>
      <c r="AG187" s="276"/>
      <c r="AH187" s="276"/>
    </row>
    <row r="188" spans="1:34">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c r="AE188" s="276"/>
      <c r="AF188" s="276"/>
      <c r="AG188" s="276"/>
      <c r="AH188" s="276"/>
    </row>
    <row r="189" spans="1:34">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6"/>
      <c r="AF189" s="276"/>
      <c r="AG189" s="276"/>
      <c r="AH189" s="276"/>
    </row>
    <row r="190" spans="1:34">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c r="AE190" s="276"/>
      <c r="AF190" s="276"/>
      <c r="AG190" s="276"/>
      <c r="AH190" s="276"/>
    </row>
    <row r="191" spans="1:34">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76"/>
      <c r="AE191" s="276"/>
      <c r="AF191" s="276"/>
      <c r="AG191" s="276"/>
      <c r="AH191" s="276"/>
    </row>
    <row r="192" spans="1:34">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76"/>
      <c r="AE192" s="276"/>
      <c r="AF192" s="276"/>
      <c r="AG192" s="276"/>
      <c r="AH192" s="276"/>
    </row>
    <row r="193" spans="1:34">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76"/>
      <c r="AE193" s="276"/>
      <c r="AF193" s="276"/>
      <c r="AG193" s="276"/>
      <c r="AH193" s="276"/>
    </row>
    <row r="194" spans="1:34">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76"/>
      <c r="AE194" s="276"/>
      <c r="AF194" s="276"/>
      <c r="AG194" s="276"/>
      <c r="AH194" s="276"/>
    </row>
    <row r="195" spans="1:34">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76"/>
      <c r="AE195" s="276"/>
      <c r="AF195" s="276"/>
      <c r="AG195" s="276"/>
      <c r="AH195" s="276"/>
    </row>
    <row r="196" spans="1:34">
      <c r="A196" s="276"/>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c r="AE196" s="276"/>
      <c r="AF196" s="276"/>
      <c r="AG196" s="276"/>
      <c r="AH196" s="276"/>
    </row>
    <row r="197" spans="1:34">
      <c r="A197" s="276"/>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c r="AE197" s="276"/>
      <c r="AF197" s="276"/>
      <c r="AG197" s="276"/>
      <c r="AH197" s="276"/>
    </row>
    <row r="198" spans="1:34">
      <c r="A198" s="276"/>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76"/>
      <c r="AE198" s="276"/>
      <c r="AF198" s="276"/>
      <c r="AG198" s="276"/>
      <c r="AH198" s="276"/>
    </row>
    <row r="199" spans="1:34">
      <c r="A199" s="276"/>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c r="AE199" s="276"/>
      <c r="AF199" s="276"/>
      <c r="AG199" s="276"/>
      <c r="AH199" s="276"/>
    </row>
    <row r="200" spans="1:34">
      <c r="A200" s="276"/>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76"/>
      <c r="AE200" s="276"/>
      <c r="AF200" s="276"/>
      <c r="AG200" s="276"/>
      <c r="AH200" s="276"/>
    </row>
    <row r="201" spans="1:34">
      <c r="A201" s="276"/>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76"/>
      <c r="AE201" s="276"/>
      <c r="AF201" s="276"/>
      <c r="AG201" s="276"/>
      <c r="AH201" s="276"/>
    </row>
    <row r="202" spans="1:34">
      <c r="A202" s="276"/>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76"/>
      <c r="AE202" s="276"/>
      <c r="AF202" s="276"/>
      <c r="AG202" s="276"/>
      <c r="AH202" s="276"/>
    </row>
    <row r="203" spans="1:34">
      <c r="A203" s="276"/>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76"/>
      <c r="AE203" s="276"/>
      <c r="AF203" s="276"/>
      <c r="AG203" s="276"/>
      <c r="AH203" s="276"/>
    </row>
    <row r="204" spans="1:34">
      <c r="A204" s="276"/>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76"/>
      <c r="AE204" s="276"/>
      <c r="AF204" s="276"/>
      <c r="AG204" s="276"/>
      <c r="AH204" s="276"/>
    </row>
    <row r="205" spans="1:34">
      <c r="A205" s="276"/>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76"/>
      <c r="AE205" s="276"/>
      <c r="AF205" s="276"/>
      <c r="AG205" s="276"/>
      <c r="AH205" s="276"/>
    </row>
    <row r="206" spans="1:34">
      <c r="A206" s="276"/>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276"/>
      <c r="AF206" s="276"/>
      <c r="AG206" s="276"/>
      <c r="AH206" s="276"/>
    </row>
    <row r="207" spans="1:34">
      <c r="A207" s="276"/>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76"/>
      <c r="AE207" s="276"/>
      <c r="AF207" s="276"/>
      <c r="AG207" s="276"/>
      <c r="AH207" s="276"/>
    </row>
    <row r="208" spans="1:34">
      <c r="A208" s="276"/>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76"/>
      <c r="AE208" s="276"/>
      <c r="AF208" s="276"/>
      <c r="AG208" s="276"/>
      <c r="AH208" s="276"/>
    </row>
    <row r="209" spans="1:34">
      <c r="A209" s="276"/>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76"/>
      <c r="AE209" s="276"/>
      <c r="AF209" s="276"/>
      <c r="AG209" s="276"/>
      <c r="AH209" s="276"/>
    </row>
    <row r="210" spans="1:34">
      <c r="A210" s="276"/>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76"/>
      <c r="AE210" s="276"/>
      <c r="AF210" s="276"/>
      <c r="AG210" s="276"/>
      <c r="AH210" s="276"/>
    </row>
    <row r="211" spans="1:34">
      <c r="A211" s="276"/>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76"/>
      <c r="AE211" s="276"/>
      <c r="AF211" s="276"/>
      <c r="AG211" s="276"/>
      <c r="AH211" s="276"/>
    </row>
    <row r="212" spans="1:34">
      <c r="A212" s="276"/>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76"/>
      <c r="AE212" s="276"/>
      <c r="AF212" s="276"/>
      <c r="AG212" s="276"/>
      <c r="AH212" s="276"/>
    </row>
    <row r="213" spans="1:34">
      <c r="A213" s="276"/>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76"/>
      <c r="AE213" s="276"/>
      <c r="AF213" s="276"/>
      <c r="AG213" s="276"/>
      <c r="AH213" s="276"/>
    </row>
  </sheetData>
  <sheetProtection sheet="1"/>
  <mergeCells count="29">
    <mergeCell ref="A3:H3"/>
    <mergeCell ref="A86:B86"/>
    <mergeCell ref="A87:B87"/>
    <mergeCell ref="B7:C7"/>
    <mergeCell ref="B8:C8"/>
    <mergeCell ref="B9:C9"/>
    <mergeCell ref="B10:C10"/>
    <mergeCell ref="B24:I24"/>
    <mergeCell ref="A27:I27"/>
    <mergeCell ref="A6:I6"/>
    <mergeCell ref="D7:I7"/>
    <mergeCell ref="D8:I8"/>
    <mergeCell ref="D9:I9"/>
    <mergeCell ref="D10:I10"/>
    <mergeCell ref="D11:I11"/>
    <mergeCell ref="B11:C11"/>
    <mergeCell ref="B12:C12"/>
    <mergeCell ref="J17:K17"/>
    <mergeCell ref="A18:I18"/>
    <mergeCell ref="D12:I12"/>
    <mergeCell ref="A101:B101"/>
    <mergeCell ref="A19:I19"/>
    <mergeCell ref="A16:I16"/>
    <mergeCell ref="J16:K16"/>
    <mergeCell ref="A17:I17"/>
    <mergeCell ref="A20:I20"/>
    <mergeCell ref="F38:H38"/>
    <mergeCell ref="F37:H37"/>
    <mergeCell ref="J18:K18"/>
  </mergeCells>
  <dataValidations count="2">
    <dataValidation type="list" allowBlank="1" showInputMessage="1" showErrorMessage="1" sqref="G49" xr:uid="{00000000-0002-0000-1C00-000000000000}">
      <formula1>Fuel_Type</formula1>
    </dataValidation>
    <dataValidation type="list" allowBlank="1" showInputMessage="1" showErrorMessage="1" sqref="D42:D43" xr:uid="{00000000-0002-0000-1C00-000001000000}">
      <formula1>eGRID_Subregions</formula1>
    </dataValidation>
  </dataValidations>
  <hyperlinks>
    <hyperlink ref="B47" r:id="rId1" xr:uid="{00000000-0004-0000-1C00-000000000000}"/>
  </hyperlinks>
  <pageMargins left="0.25" right="0.25" top="0.25" bottom="0.5" header="0.5" footer="0.25"/>
  <pageSetup scale="66" orientation="portrait" r:id="rId2"/>
  <headerFooter alignWithMargins="0">
    <oddFooter>&amp;L&amp;"Arial,Italic"&amp;9EPA Climate Leaders Simplified GHG Emissions Calculator (Direct 1.0)&amp;R&amp;"Arial,Italic"&amp;9&amp;P of &amp;N</oddFooter>
  </headerFooter>
  <colBreaks count="1" manualBreakCount="1">
    <brk id="11" max="1048575" man="1"/>
  </colBreak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dimension ref="A1:AD201"/>
  <sheetViews>
    <sheetView zoomScale="80" zoomScaleNormal="80" workbookViewId="0"/>
  </sheetViews>
  <sheetFormatPr defaultColWidth="9.140625" defaultRowHeight="12.75"/>
  <cols>
    <col min="1" max="1" width="9.85546875" style="275" customWidth="1"/>
    <col min="2" max="2" width="33.85546875" style="275" customWidth="1"/>
    <col min="3" max="3" width="28.85546875" style="275" customWidth="1"/>
    <col min="4" max="5" width="15.85546875" style="275" customWidth="1"/>
    <col min="6" max="7" width="6.140625" style="275" customWidth="1"/>
    <col min="8" max="16384" width="9.140625" style="275"/>
  </cols>
  <sheetData>
    <row r="1" spans="1:30" ht="24.95" customHeight="1">
      <c r="A1" s="276"/>
      <c r="B1" s="276"/>
      <c r="C1" s="276"/>
      <c r="D1" s="276"/>
      <c r="E1" s="276"/>
      <c r="F1" s="276"/>
      <c r="G1" s="276"/>
      <c r="H1" s="276"/>
      <c r="I1" s="276"/>
      <c r="J1" s="276"/>
      <c r="K1" s="276"/>
      <c r="L1" s="276"/>
      <c r="M1" s="276"/>
      <c r="N1" s="276"/>
      <c r="O1" s="276"/>
      <c r="Q1" s="276"/>
      <c r="R1" s="276"/>
      <c r="S1" s="276"/>
      <c r="T1" s="276"/>
      <c r="U1" s="276"/>
      <c r="V1" s="276"/>
      <c r="W1" s="276"/>
      <c r="X1" s="276"/>
      <c r="Y1" s="276"/>
      <c r="Z1" s="276"/>
      <c r="AA1" s="276"/>
      <c r="AB1" s="276"/>
      <c r="AC1" s="276"/>
      <c r="AD1" s="276"/>
    </row>
    <row r="2" spans="1:30" ht="24.95" customHeight="1">
      <c r="A2" s="276"/>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row>
    <row r="3" spans="1:30" ht="15">
      <c r="A3" s="277" t="s">
        <v>820</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row>
    <row r="4" spans="1:30">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row>
    <row r="5" spans="1:30">
      <c r="A5" s="278" t="s">
        <v>420</v>
      </c>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row>
    <row r="6" spans="1:30" ht="81" customHeight="1">
      <c r="A6" s="1395" t="s">
        <v>1005</v>
      </c>
      <c r="B6" s="1395"/>
      <c r="C6" s="1395"/>
      <c r="D6" s="1395"/>
      <c r="E6" s="1395"/>
      <c r="F6" s="276"/>
      <c r="G6" s="1390"/>
      <c r="H6" s="1390"/>
      <c r="I6" s="1390"/>
      <c r="J6" s="1390"/>
      <c r="K6" s="1390"/>
      <c r="L6" s="1390"/>
      <c r="M6" s="276"/>
      <c r="N6" s="276"/>
      <c r="O6" s="276"/>
      <c r="P6" s="276"/>
      <c r="Q6" s="276"/>
      <c r="R6" s="276"/>
      <c r="S6" s="276"/>
      <c r="T6" s="276"/>
      <c r="U6" s="276"/>
      <c r="V6" s="276"/>
      <c r="W6" s="276"/>
      <c r="X6" s="276"/>
      <c r="Y6" s="276"/>
      <c r="Z6" s="276"/>
      <c r="AA6" s="276"/>
      <c r="AB6" s="276"/>
      <c r="AC6" s="276"/>
      <c r="AD6" s="276"/>
    </row>
    <row r="7" spans="1:30">
      <c r="A7" s="281"/>
      <c r="B7" s="281"/>
      <c r="C7" s="281"/>
      <c r="D7" s="281"/>
      <c r="E7" s="281"/>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row>
    <row r="8" spans="1:30">
      <c r="A8" s="282" t="s">
        <v>422</v>
      </c>
      <c r="B8" s="281"/>
      <c r="C8" s="281"/>
      <c r="D8" s="281"/>
      <c r="E8" s="281"/>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row>
    <row r="9" spans="1:30" ht="40.5" customHeight="1">
      <c r="A9" s="1395" t="s">
        <v>981</v>
      </c>
      <c r="B9" s="1395"/>
      <c r="C9" s="1395"/>
      <c r="D9" s="1395"/>
      <c r="E9" s="1395"/>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row>
    <row r="10" spans="1:30" ht="17.25" customHeight="1">
      <c r="A10" s="285" t="s">
        <v>432</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row>
    <row r="11" spans="1:30">
      <c r="A11" s="284" t="s">
        <v>426</v>
      </c>
      <c r="B11" s="1388" t="s">
        <v>532</v>
      </c>
      <c r="C11" s="1388"/>
      <c r="D11" s="1388"/>
      <c r="E11" s="1388"/>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row>
    <row r="12" spans="1:30">
      <c r="A12" s="284" t="s">
        <v>426</v>
      </c>
      <c r="B12" s="1388" t="s">
        <v>940</v>
      </c>
      <c r="C12" s="1388"/>
      <c r="D12" s="1388"/>
      <c r="E12" s="1388"/>
      <c r="F12" s="276"/>
      <c r="G12" s="276"/>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row>
    <row r="13" spans="1:30">
      <c r="A13" s="284" t="s">
        <v>426</v>
      </c>
      <c r="B13" s="1388" t="s">
        <v>982</v>
      </c>
      <c r="C13" s="1388"/>
      <c r="D13" s="1388"/>
      <c r="E13" s="1388"/>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row>
    <row r="14" spans="1:30">
      <c r="A14" s="281"/>
      <c r="B14" s="281"/>
      <c r="C14" s="281"/>
      <c r="D14" s="281"/>
      <c r="E14" s="281"/>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row>
    <row r="15" spans="1:30">
      <c r="A15" s="283" t="s">
        <v>423</v>
      </c>
      <c r="B15" s="281"/>
      <c r="C15" s="281"/>
      <c r="D15" s="281"/>
      <c r="E15" s="281"/>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row>
    <row r="16" spans="1:30" ht="46.5" customHeight="1">
      <c r="A16" s="1395" t="s">
        <v>837</v>
      </c>
      <c r="B16" s="1395"/>
      <c r="C16" s="1395"/>
      <c r="D16" s="1395"/>
      <c r="E16" s="1395"/>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row>
    <row r="17" spans="1:30">
      <c r="A17" s="281"/>
      <c r="B17" s="281"/>
      <c r="C17" s="281"/>
      <c r="D17" s="281"/>
      <c r="E17" s="281"/>
      <c r="F17" s="276"/>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row>
    <row r="18" spans="1:30">
      <c r="A18" s="283" t="s">
        <v>429</v>
      </c>
      <c r="B18" s="281"/>
      <c r="C18" s="281"/>
      <c r="D18" s="281"/>
      <c r="E18" s="281"/>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row>
    <row r="19" spans="1:30" ht="16.5" customHeight="1">
      <c r="A19" s="284" t="s">
        <v>426</v>
      </c>
      <c r="B19" s="1388" t="s">
        <v>559</v>
      </c>
      <c r="C19" s="1388"/>
      <c r="D19" s="1388"/>
      <c r="E19" s="1388"/>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row>
    <row r="20" spans="1:30" ht="38.25" customHeight="1">
      <c r="A20" s="284" t="s">
        <v>426</v>
      </c>
      <c r="B20" s="1388" t="s">
        <v>1006</v>
      </c>
      <c r="C20" s="1388"/>
      <c r="D20" s="1388"/>
      <c r="E20" s="1388"/>
      <c r="F20" s="1388"/>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row>
    <row r="21" spans="1:30">
      <c r="A21" s="276"/>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row>
    <row r="22" spans="1:30">
      <c r="A22" s="276"/>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row>
    <row r="23" spans="1:30">
      <c r="A23" s="276"/>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row>
    <row r="24" spans="1:30">
      <c r="A24" s="276"/>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row>
    <row r="25" spans="1:30">
      <c r="A25" s="276"/>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row>
    <row r="26" spans="1:30">
      <c r="A26" s="276"/>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row>
    <row r="27" spans="1:30">
      <c r="A27" s="276"/>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30">
      <c r="A28" s="276"/>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row>
    <row r="29" spans="1:30">
      <c r="A29" s="276"/>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row>
    <row r="30" spans="1:30">
      <c r="A30" s="276"/>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row>
    <row r="31" spans="1:30">
      <c r="A31" s="276"/>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row>
    <row r="32" spans="1:30">
      <c r="A32" s="276"/>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row>
    <row r="33" spans="1:30">
      <c r="A33" s="276"/>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row>
    <row r="34" spans="1:30">
      <c r="A34" s="276"/>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row>
    <row r="35" spans="1:30">
      <c r="A35" s="276"/>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row>
    <row r="36" spans="1:30">
      <c r="A36" s="276"/>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row>
    <row r="37" spans="1:30">
      <c r="A37" s="276"/>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row>
    <row r="38" spans="1:30">
      <c r="A38" s="276"/>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row>
    <row r="39" spans="1:30">
      <c r="A39" s="276"/>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row>
    <row r="40" spans="1:30">
      <c r="A40" s="276"/>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row>
    <row r="41" spans="1:30">
      <c r="A41" s="276"/>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row>
    <row r="42" spans="1:30">
      <c r="A42" s="276"/>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row>
    <row r="43" spans="1:30">
      <c r="A43" s="276"/>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row>
    <row r="44" spans="1:30">
      <c r="A44" s="276"/>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row>
    <row r="45" spans="1:30">
      <c r="A45" s="276"/>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row>
    <row r="46" spans="1:30">
      <c r="A46" s="276"/>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row>
    <row r="47" spans="1:30">
      <c r="A47" s="276"/>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row>
    <row r="48" spans="1:30">
      <c r="A48" s="276"/>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row>
    <row r="49" spans="1:30">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row>
    <row r="50" spans="1:30">
      <c r="A50" s="276"/>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row>
    <row r="51" spans="1:30">
      <c r="A51" s="276"/>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row>
    <row r="52" spans="1:30">
      <c r="A52" s="276"/>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row>
    <row r="53" spans="1:30">
      <c r="A53" s="276"/>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row>
    <row r="54" spans="1:30">
      <c r="A54" s="276"/>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row>
    <row r="55" spans="1:30">
      <c r="A55" s="276"/>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row>
    <row r="56" spans="1:30">
      <c r="A56" s="276"/>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row>
    <row r="57" spans="1:30">
      <c r="A57" s="276"/>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row>
    <row r="58" spans="1:30">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row>
    <row r="59" spans="1:30">
      <c r="A59" s="276"/>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row>
    <row r="60" spans="1:30">
      <c r="A60" s="276"/>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row>
    <row r="61" spans="1:30">
      <c r="A61" s="276"/>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row>
    <row r="62" spans="1:30">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row>
    <row r="63" spans="1:30">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row>
    <row r="64" spans="1:30">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row>
    <row r="65" spans="1:30">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row>
    <row r="66" spans="1:30">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row>
    <row r="67" spans="1:30">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row>
    <row r="68" spans="1:30">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row>
    <row r="69" spans="1:30">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row>
    <row r="70" spans="1:30">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row>
    <row r="71" spans="1:30">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row>
    <row r="72" spans="1:30">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row>
    <row r="73" spans="1:30">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row>
    <row r="74" spans="1:30">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row>
    <row r="75" spans="1:30">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row>
    <row r="76" spans="1:30">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row>
    <row r="77" spans="1:30">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row>
    <row r="78" spans="1:30">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row>
    <row r="79" spans="1:30">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row>
    <row r="80" spans="1:30">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row>
    <row r="81" spans="1:30">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row>
    <row r="82" spans="1:30">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row>
    <row r="83" spans="1:30">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row>
    <row r="84" spans="1:30">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row>
    <row r="85" spans="1:30">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row>
    <row r="86" spans="1:30">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row>
    <row r="87" spans="1:30">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row>
    <row r="88" spans="1:30">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row>
    <row r="89" spans="1:30">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row>
    <row r="90" spans="1:30">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row>
    <row r="91" spans="1:30">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row>
    <row r="92" spans="1:30">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row>
    <row r="93" spans="1:30">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row>
    <row r="94" spans="1:30">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row>
    <row r="95" spans="1:30">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row>
    <row r="96" spans="1:30">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row>
    <row r="97" spans="1:30">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row>
    <row r="98" spans="1:30">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row>
    <row r="99" spans="1:30">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row>
    <row r="100" spans="1:30">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row>
    <row r="101" spans="1:30">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row>
    <row r="102" spans="1:30">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row>
    <row r="103" spans="1:30">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row>
    <row r="104" spans="1:30">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row>
    <row r="105" spans="1:30">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row>
    <row r="106" spans="1:30">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row>
    <row r="107" spans="1:30">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row>
    <row r="108" spans="1:30">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row>
    <row r="109" spans="1:30">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row>
    <row r="110" spans="1:30">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row>
    <row r="111" spans="1:30">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row>
    <row r="112" spans="1:30">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row>
    <row r="113" spans="1:30">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row>
    <row r="114" spans="1:30">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row>
    <row r="115" spans="1:30">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row>
    <row r="116" spans="1:30">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row>
    <row r="117" spans="1:30">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row>
    <row r="118" spans="1:30">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row>
    <row r="119" spans="1:30">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row>
    <row r="120" spans="1:30">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row>
    <row r="121" spans="1:30">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row>
    <row r="122" spans="1:30">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row>
    <row r="123" spans="1:30">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row>
    <row r="124" spans="1:30">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row>
    <row r="125" spans="1:30">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row>
    <row r="126" spans="1:30">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row>
    <row r="127" spans="1:30">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row>
    <row r="128" spans="1:30">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row>
    <row r="129" spans="1:30">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row>
    <row r="130" spans="1:30">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row>
    <row r="131" spans="1:30">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row>
    <row r="132" spans="1:30">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row>
    <row r="133" spans="1:30">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row>
    <row r="134" spans="1:30">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row>
    <row r="135" spans="1:30">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row>
    <row r="136" spans="1:30">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row>
    <row r="137" spans="1:30">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row>
    <row r="138" spans="1:30">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row>
    <row r="139" spans="1:30">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row>
    <row r="140" spans="1:30">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row>
    <row r="141" spans="1:30">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row>
    <row r="142" spans="1:30">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row>
    <row r="143" spans="1:30">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row>
    <row r="144" spans="1:30">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row>
    <row r="145" spans="1:30">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row>
    <row r="146" spans="1:30">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row>
    <row r="147" spans="1:30">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row>
    <row r="148" spans="1:30">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row>
    <row r="149" spans="1:30">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row>
    <row r="150" spans="1:30">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row>
    <row r="151" spans="1:30">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row>
    <row r="152" spans="1:30">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row>
    <row r="153" spans="1:30">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row>
    <row r="154" spans="1:30">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row>
    <row r="155" spans="1:30">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row>
    <row r="156" spans="1:30">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row>
    <row r="157" spans="1:30">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row>
    <row r="158" spans="1:30">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row>
    <row r="159" spans="1:30">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row>
    <row r="160" spans="1:30">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row>
    <row r="161" spans="1:30">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row>
    <row r="162" spans="1:30">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row>
    <row r="163" spans="1:30">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row>
    <row r="164" spans="1:30">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row>
    <row r="165" spans="1:30">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row>
    <row r="166" spans="1:30">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row>
    <row r="167" spans="1:30">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row>
    <row r="168" spans="1:30">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row>
    <row r="169" spans="1:30">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76"/>
    </row>
    <row r="170" spans="1:30">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76"/>
    </row>
    <row r="171" spans="1:30">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row>
    <row r="172" spans="1:30">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row>
    <row r="173" spans="1:30">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row>
    <row r="174" spans="1:30">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76"/>
    </row>
    <row r="175" spans="1:30">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row>
    <row r="176" spans="1:30">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row>
    <row r="177" spans="1:30">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row>
    <row r="178" spans="1:30">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row>
    <row r="179" spans="1:30">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row>
    <row r="180" spans="1:30">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row>
    <row r="181" spans="1:30">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row>
    <row r="182" spans="1:30">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row>
    <row r="183" spans="1:30">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76"/>
    </row>
    <row r="184" spans="1:30">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row>
    <row r="185" spans="1:30">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row>
    <row r="186" spans="1:30">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row>
    <row r="187" spans="1:30">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row>
    <row r="188" spans="1:30">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row>
    <row r="189" spans="1:30">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row>
    <row r="190" spans="1:30">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row>
    <row r="191" spans="1:30">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76"/>
    </row>
    <row r="192" spans="1:30">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76"/>
    </row>
    <row r="193" spans="1:30">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76"/>
    </row>
    <row r="194" spans="1:30">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76"/>
    </row>
    <row r="195" spans="1:30">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76"/>
    </row>
    <row r="196" spans="1:30">
      <c r="A196" s="276"/>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row>
    <row r="197" spans="1:30">
      <c r="A197" s="276"/>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row>
    <row r="198" spans="1:30">
      <c r="A198" s="276"/>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76"/>
    </row>
    <row r="199" spans="1:30">
      <c r="A199" s="276"/>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row>
    <row r="200" spans="1:30">
      <c r="A200" s="276"/>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76"/>
    </row>
    <row r="201" spans="1:30">
      <c r="A201" s="276"/>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76"/>
    </row>
  </sheetData>
  <sheetProtection sheet="1"/>
  <mergeCells count="9">
    <mergeCell ref="G6:L6"/>
    <mergeCell ref="B11:E11"/>
    <mergeCell ref="B12:E12"/>
    <mergeCell ref="B13:E13"/>
    <mergeCell ref="B20:F20"/>
    <mergeCell ref="B19:E19"/>
    <mergeCell ref="A6:E6"/>
    <mergeCell ref="A9:E9"/>
    <mergeCell ref="A16:E16"/>
  </mergeCells>
  <pageMargins left="0.25" right="0.25" top="0.25" bottom="0.5" header="0.5" footer="0.25"/>
  <pageSetup scale="94" orientation="portrait" r:id="rId1"/>
  <headerFooter alignWithMargins="0">
    <oddFooter>&amp;L&amp;"Arial,Italic"&amp;9EPA Climate Leaders Simplified GHG Emissions Calculator (Direct 1.0)&amp;R&amp;"Arial,Italic"&amp;9&amp;P of &amp;N</oddFooter>
  </headerFooter>
  <colBreaks count="1" manualBreakCount="1">
    <brk id="6"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dimension ref="A1:AD196"/>
  <sheetViews>
    <sheetView zoomScale="80" zoomScaleNormal="80" workbookViewId="0"/>
  </sheetViews>
  <sheetFormatPr defaultColWidth="9.140625" defaultRowHeight="12.75"/>
  <cols>
    <col min="1" max="1" width="9.85546875" style="275" customWidth="1"/>
    <col min="2" max="2" width="33.85546875" style="275" customWidth="1"/>
    <col min="3" max="3" width="28.85546875" style="275" customWidth="1"/>
    <col min="4" max="5" width="15.85546875" style="275" customWidth="1"/>
    <col min="6" max="7" width="6.140625" style="275" customWidth="1"/>
    <col min="8" max="16384" width="9.140625" style="275"/>
  </cols>
  <sheetData>
    <row r="1" spans="1:30" ht="24.95" customHeight="1">
      <c r="A1" s="276"/>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row>
    <row r="2" spans="1:30" ht="24.95" customHeight="1">
      <c r="A2" s="276"/>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row>
    <row r="3" spans="1:30" ht="15">
      <c r="A3" s="292" t="s">
        <v>821</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row>
    <row r="4" spans="1:30">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row>
    <row r="5" spans="1:30">
      <c r="A5" s="316" t="s">
        <v>420</v>
      </c>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row>
    <row r="6" spans="1:30" ht="40.5" customHeight="1">
      <c r="A6" s="1395" t="s">
        <v>1007</v>
      </c>
      <c r="B6" s="1395"/>
      <c r="C6" s="1395"/>
      <c r="D6" s="1395"/>
      <c r="E6" s="1395"/>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row>
    <row r="7" spans="1:30">
      <c r="A7" s="281"/>
      <c r="B7" s="281"/>
      <c r="C7" s="281"/>
      <c r="D7" s="281"/>
      <c r="E7" s="281"/>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row>
    <row r="8" spans="1:30">
      <c r="A8" s="317" t="s">
        <v>422</v>
      </c>
      <c r="B8" s="281"/>
      <c r="C8" s="281"/>
      <c r="D8" s="281"/>
      <c r="E8" s="281"/>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row>
    <row r="9" spans="1:30" ht="64.5" customHeight="1">
      <c r="A9" s="1395" t="s">
        <v>576</v>
      </c>
      <c r="B9" s="1395"/>
      <c r="C9" s="1395"/>
      <c r="D9" s="1395"/>
      <c r="E9" s="1395"/>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row>
    <row r="10" spans="1:30" ht="17.25" customHeight="1">
      <c r="A10" s="318" t="s">
        <v>540</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row>
    <row r="11" spans="1:30" ht="16.5" customHeight="1">
      <c r="A11" s="284" t="s">
        <v>426</v>
      </c>
      <c r="B11" s="1388" t="s">
        <v>577</v>
      </c>
      <c r="C11" s="1388"/>
      <c r="D11" s="1388"/>
      <c r="E11" s="1388"/>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row>
    <row r="12" spans="1:30" ht="28.5" customHeight="1">
      <c r="A12" s="284" t="s">
        <v>426</v>
      </c>
      <c r="B12" s="1388" t="s">
        <v>578</v>
      </c>
      <c r="C12" s="1388"/>
      <c r="D12" s="1388"/>
      <c r="E12" s="1388"/>
      <c r="F12" s="276"/>
      <c r="G12" s="276"/>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row>
    <row r="13" spans="1:30">
      <c r="A13" s="284"/>
      <c r="B13" s="287"/>
      <c r="C13" s="287"/>
      <c r="D13" s="287"/>
      <c r="E13" s="287"/>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row>
    <row r="14" spans="1:30">
      <c r="A14" s="319" t="s">
        <v>423</v>
      </c>
      <c r="B14" s="281"/>
      <c r="C14" s="281"/>
      <c r="D14" s="281"/>
      <c r="E14" s="281"/>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row>
    <row r="15" spans="1:30" ht="69.599999999999994" customHeight="1">
      <c r="A15" s="1398" t="s">
        <v>1361</v>
      </c>
      <c r="B15" s="1395"/>
      <c r="C15" s="1395"/>
      <c r="D15" s="1395"/>
      <c r="E15" s="1395"/>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row>
    <row r="16" spans="1:30">
      <c r="A16" s="281"/>
      <c r="B16" s="281"/>
      <c r="C16" s="281"/>
      <c r="D16" s="281"/>
      <c r="E16" s="281"/>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row>
    <row r="17" spans="1:30">
      <c r="A17" s="276"/>
      <c r="B17" s="276"/>
      <c r="C17" s="276"/>
      <c r="D17" s="276"/>
      <c r="E17" s="276"/>
      <c r="F17" s="276"/>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row>
    <row r="18" spans="1:30">
      <c r="A18" s="276"/>
      <c r="B18" s="276"/>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row>
    <row r="19" spans="1:30">
      <c r="A19" s="276"/>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row>
    <row r="20" spans="1:30">
      <c r="A20" s="276"/>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row>
    <row r="21" spans="1:30">
      <c r="A21" s="276"/>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row>
    <row r="22" spans="1:30">
      <c r="A22" s="276"/>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row>
    <row r="23" spans="1:30">
      <c r="A23" s="276"/>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row>
    <row r="24" spans="1:30">
      <c r="A24" s="276"/>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row>
    <row r="25" spans="1:30">
      <c r="A25" s="276"/>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row>
    <row r="26" spans="1:30">
      <c r="A26" s="276"/>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row>
    <row r="27" spans="1:30">
      <c r="A27" s="276"/>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30">
      <c r="A28" s="276"/>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row>
    <row r="29" spans="1:30">
      <c r="A29" s="276"/>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row>
    <row r="30" spans="1:30">
      <c r="A30" s="276"/>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row>
    <row r="31" spans="1:30">
      <c r="A31" s="276"/>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row>
    <row r="32" spans="1:30">
      <c r="A32" s="276"/>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row>
    <row r="33" spans="1:30">
      <c r="A33" s="276"/>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row>
    <row r="34" spans="1:30">
      <c r="A34" s="276"/>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row>
    <row r="35" spans="1:30">
      <c r="A35" s="276"/>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row>
    <row r="36" spans="1:30">
      <c r="A36" s="276"/>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row>
    <row r="37" spans="1:30">
      <c r="A37" s="276"/>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row>
    <row r="38" spans="1:30">
      <c r="A38" s="276"/>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row>
    <row r="39" spans="1:30">
      <c r="A39" s="276"/>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row>
    <row r="40" spans="1:30">
      <c r="A40" s="276"/>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row>
    <row r="41" spans="1:30">
      <c r="A41" s="276"/>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row>
    <row r="42" spans="1:30">
      <c r="A42" s="276"/>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row>
    <row r="43" spans="1:30">
      <c r="A43" s="276"/>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row>
    <row r="44" spans="1:30">
      <c r="A44" s="276"/>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row>
    <row r="45" spans="1:30">
      <c r="A45" s="276"/>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row>
    <row r="46" spans="1:30">
      <c r="A46" s="276"/>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row>
    <row r="47" spans="1:30">
      <c r="A47" s="276"/>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row>
    <row r="48" spans="1:30">
      <c r="A48" s="276"/>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row>
    <row r="49" spans="1:30">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row>
    <row r="50" spans="1:30">
      <c r="A50" s="276"/>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row>
    <row r="51" spans="1:30">
      <c r="A51" s="276"/>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row>
    <row r="52" spans="1:30">
      <c r="A52" s="276"/>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row>
    <row r="53" spans="1:30">
      <c r="A53" s="276"/>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row>
    <row r="54" spans="1:30">
      <c r="A54" s="276"/>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row>
    <row r="55" spans="1:30">
      <c r="A55" s="276"/>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row>
    <row r="56" spans="1:30">
      <c r="A56" s="276"/>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row>
    <row r="57" spans="1:30">
      <c r="A57" s="276"/>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row>
    <row r="58" spans="1:30">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row>
    <row r="59" spans="1:30">
      <c r="A59" s="276"/>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row>
    <row r="60" spans="1:30">
      <c r="A60" s="276"/>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row>
    <row r="61" spans="1:30">
      <c r="A61" s="276"/>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row>
    <row r="62" spans="1:30">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row>
    <row r="63" spans="1:30">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row>
    <row r="64" spans="1:30">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row>
    <row r="65" spans="1:30">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row>
    <row r="66" spans="1:30">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row>
    <row r="67" spans="1:30">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row>
    <row r="68" spans="1:30">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row>
    <row r="69" spans="1:30">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row>
    <row r="70" spans="1:30">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row>
    <row r="71" spans="1:30">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row>
    <row r="72" spans="1:30">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row>
    <row r="73" spans="1:30">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row>
    <row r="74" spans="1:30">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row>
    <row r="75" spans="1:30">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row>
    <row r="76" spans="1:30">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row>
    <row r="77" spans="1:30">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row>
    <row r="78" spans="1:30">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row>
    <row r="79" spans="1:30">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row>
    <row r="80" spans="1:30">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row>
    <row r="81" spans="1:30">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row>
    <row r="82" spans="1:30">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row>
    <row r="83" spans="1:30">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row>
    <row r="84" spans="1:30">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row>
    <row r="85" spans="1:30">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row>
    <row r="86" spans="1:30">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row>
    <row r="87" spans="1:30">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row>
    <row r="88" spans="1:30">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row>
    <row r="89" spans="1:30">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row>
    <row r="90" spans="1:30">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row>
    <row r="91" spans="1:30">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row>
    <row r="92" spans="1:30">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row>
    <row r="93" spans="1:30">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row>
    <row r="94" spans="1:30">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row>
    <row r="95" spans="1:30">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row>
    <row r="96" spans="1:30">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row>
    <row r="97" spans="1:30">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row>
    <row r="98" spans="1:30">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row>
    <row r="99" spans="1:30">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row>
    <row r="100" spans="1:30">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row>
    <row r="101" spans="1:30">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row>
    <row r="102" spans="1:30">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row>
    <row r="103" spans="1:30">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row>
    <row r="104" spans="1:30">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row>
    <row r="105" spans="1:30">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row>
    <row r="106" spans="1:30">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row>
    <row r="107" spans="1:30">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row>
    <row r="108" spans="1:30">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row>
    <row r="109" spans="1:30">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row>
    <row r="110" spans="1:30">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row>
    <row r="111" spans="1:30">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row>
    <row r="112" spans="1:30">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row>
    <row r="113" spans="1:30">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row>
    <row r="114" spans="1:30">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row>
    <row r="115" spans="1:30">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row>
    <row r="116" spans="1:30">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row>
    <row r="117" spans="1:30">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row>
    <row r="118" spans="1:30">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row>
    <row r="119" spans="1:30">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row>
    <row r="120" spans="1:30">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row>
    <row r="121" spans="1:30">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row>
    <row r="122" spans="1:30">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row>
    <row r="123" spans="1:30">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row>
    <row r="124" spans="1:30">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row>
    <row r="125" spans="1:30">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row>
    <row r="126" spans="1:30">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row>
    <row r="127" spans="1:30">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row>
    <row r="128" spans="1:30">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row>
    <row r="129" spans="1:30">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row>
    <row r="130" spans="1:30">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row>
    <row r="131" spans="1:30">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row>
    <row r="132" spans="1:30">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row>
    <row r="133" spans="1:30">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row>
    <row r="134" spans="1:30">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row>
    <row r="135" spans="1:30">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row>
    <row r="136" spans="1:30">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row>
    <row r="137" spans="1:30">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row>
    <row r="138" spans="1:30">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row>
    <row r="139" spans="1:30">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row>
    <row r="140" spans="1:30">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row>
    <row r="141" spans="1:30">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row>
    <row r="142" spans="1:30">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row>
    <row r="143" spans="1:30">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row>
    <row r="144" spans="1:30">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row>
    <row r="145" spans="1:30">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row>
    <row r="146" spans="1:30">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row>
    <row r="147" spans="1:30">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row>
    <row r="148" spans="1:30">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row>
    <row r="149" spans="1:30">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row>
    <row r="150" spans="1:30">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row>
    <row r="151" spans="1:30">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row>
    <row r="152" spans="1:30">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row>
    <row r="153" spans="1:30">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row>
    <row r="154" spans="1:30">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row>
    <row r="155" spans="1:30">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row>
    <row r="156" spans="1:30">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row>
    <row r="157" spans="1:30">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row>
    <row r="158" spans="1:30">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row>
    <row r="159" spans="1:30">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row>
    <row r="160" spans="1:30">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row>
    <row r="161" spans="1:30">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row>
    <row r="162" spans="1:30">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row>
    <row r="163" spans="1:30">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row>
    <row r="164" spans="1:30">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row>
    <row r="165" spans="1:30">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row>
    <row r="166" spans="1:30">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row>
    <row r="167" spans="1:30">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row>
    <row r="168" spans="1:30">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row>
    <row r="169" spans="1:30">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76"/>
    </row>
    <row r="170" spans="1:30">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76"/>
    </row>
    <row r="171" spans="1:30">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row>
    <row r="172" spans="1:30">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row>
    <row r="173" spans="1:30">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row>
    <row r="174" spans="1:30">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76"/>
    </row>
    <row r="175" spans="1:30">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row>
    <row r="176" spans="1:30">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row>
    <row r="177" spans="1:30">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row>
    <row r="178" spans="1:30">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row>
    <row r="179" spans="1:30">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row>
    <row r="180" spans="1:30">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row>
    <row r="181" spans="1:30">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row>
    <row r="182" spans="1:30">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row>
    <row r="183" spans="1:30">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76"/>
    </row>
    <row r="184" spans="1:30">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row>
    <row r="185" spans="1:30">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row>
    <row r="186" spans="1:30">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row>
    <row r="187" spans="1:30">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row>
    <row r="188" spans="1:30">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row>
    <row r="189" spans="1:30">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row>
    <row r="190" spans="1:30">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row>
    <row r="191" spans="1:30">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76"/>
    </row>
    <row r="192" spans="1:30">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76"/>
    </row>
    <row r="193" spans="1:30">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76"/>
    </row>
    <row r="194" spans="1:30">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76"/>
    </row>
    <row r="195" spans="1:30">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76"/>
    </row>
    <row r="196" spans="1:30">
      <c r="A196" s="276"/>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row>
  </sheetData>
  <sheetProtection sheet="1"/>
  <mergeCells count="5">
    <mergeCell ref="A6:E6"/>
    <mergeCell ref="A9:E9"/>
    <mergeCell ref="A15:E15"/>
    <mergeCell ref="B11:E11"/>
    <mergeCell ref="B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D207"/>
  <sheetViews>
    <sheetView tabSelected="1" topLeftCell="A31" zoomScale="80" zoomScaleNormal="80" workbookViewId="0">
      <selection activeCell="A32" sqref="A32"/>
    </sheetView>
  </sheetViews>
  <sheetFormatPr defaultColWidth="8.85546875" defaultRowHeight="12.75"/>
  <cols>
    <col min="1" max="1" width="17.140625" customWidth="1"/>
    <col min="5" max="5" width="15.140625" customWidth="1"/>
    <col min="6" max="6" width="15.85546875" customWidth="1"/>
    <col min="7" max="7" width="10.85546875" customWidth="1"/>
    <col min="8" max="10" width="9.85546875" customWidth="1"/>
    <col min="11" max="11" width="10.85546875" customWidth="1"/>
  </cols>
  <sheetData>
    <row r="1" spans="1:30"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row>
    <row r="2" spans="1:30"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row>
    <row r="3" spans="1:30" ht="20.25">
      <c r="A3" s="543" t="s">
        <v>275</v>
      </c>
      <c r="B3" s="544"/>
      <c r="C3" s="544"/>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row>
    <row r="4" spans="1:30" ht="23.1" customHeight="1">
      <c r="A4" s="162"/>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row>
    <row r="5" spans="1:30" ht="15">
      <c r="A5" s="547" t="s">
        <v>293</v>
      </c>
      <c r="B5" s="548"/>
      <c r="C5" s="548"/>
      <c r="D5" s="548"/>
      <c r="E5" s="548"/>
      <c r="F5" s="548"/>
      <c r="G5" s="548"/>
      <c r="H5" s="548"/>
      <c r="I5" s="548"/>
      <c r="J5" s="162"/>
      <c r="K5" s="162"/>
      <c r="L5" s="162"/>
      <c r="M5" s="162"/>
      <c r="N5" s="162"/>
      <c r="O5" s="162"/>
      <c r="P5" s="162"/>
      <c r="Q5" s="162"/>
      <c r="R5" s="162"/>
      <c r="S5" s="162"/>
      <c r="T5" s="162"/>
      <c r="U5" s="162"/>
      <c r="V5" s="162"/>
      <c r="W5" s="162"/>
      <c r="X5" s="162"/>
      <c r="Y5" s="162"/>
      <c r="Z5" s="162"/>
      <c r="AA5" s="162"/>
      <c r="AB5" s="162"/>
      <c r="AC5" s="162"/>
      <c r="AD5" s="162"/>
    </row>
    <row r="6" spans="1:30" ht="46.5" customHeight="1">
      <c r="A6" s="1118" t="s">
        <v>1267</v>
      </c>
      <c r="B6" s="1161"/>
      <c r="C6" s="1161"/>
      <c r="D6" s="1161"/>
      <c r="E6" s="1161"/>
      <c r="F6" s="1161"/>
      <c r="G6" s="1161"/>
      <c r="H6" s="1161"/>
      <c r="I6" s="1161"/>
      <c r="J6" s="162"/>
      <c r="K6" s="162"/>
      <c r="L6" s="162"/>
      <c r="M6" s="162"/>
      <c r="N6" s="162"/>
      <c r="O6" s="162"/>
      <c r="P6" s="162"/>
      <c r="Q6" s="162"/>
      <c r="R6" s="162"/>
      <c r="S6" s="162"/>
      <c r="T6" s="162"/>
      <c r="U6" s="162"/>
      <c r="V6" s="162"/>
      <c r="W6" s="162"/>
      <c r="X6" s="162"/>
      <c r="Y6" s="162"/>
      <c r="Z6" s="162"/>
      <c r="AA6" s="162"/>
      <c r="AB6" s="162"/>
      <c r="AC6" s="162"/>
      <c r="AD6" s="162"/>
    </row>
    <row r="7" spans="1:30" ht="16.5" customHeight="1">
      <c r="A7" s="1179" t="s">
        <v>1268</v>
      </c>
      <c r="B7" s="1179"/>
      <c r="C7" s="1179"/>
      <c r="D7" s="1179"/>
      <c r="E7" s="1179"/>
      <c r="F7" s="1179"/>
      <c r="G7" s="1179"/>
      <c r="H7" s="1179"/>
      <c r="I7" s="1179"/>
      <c r="J7" s="162"/>
      <c r="K7" s="162"/>
      <c r="L7" s="162"/>
      <c r="M7" s="162"/>
      <c r="N7" s="162"/>
      <c r="O7" s="162"/>
      <c r="P7" s="162"/>
      <c r="Q7" s="162"/>
      <c r="R7" s="162"/>
      <c r="S7" s="162"/>
      <c r="T7" s="162"/>
      <c r="U7" s="162"/>
      <c r="V7" s="162"/>
      <c r="W7" s="162"/>
      <c r="X7" s="162"/>
      <c r="Y7" s="162"/>
      <c r="Z7" s="162"/>
      <c r="AA7" s="162"/>
      <c r="AB7" s="162"/>
      <c r="AC7" s="162"/>
      <c r="AD7" s="162"/>
    </row>
    <row r="8" spans="1:30" s="546" customFormat="1" ht="21" customHeight="1">
      <c r="A8" s="1118" t="s">
        <v>703</v>
      </c>
      <c r="B8" s="1118"/>
      <c r="C8" s="1118"/>
      <c r="D8" s="1118"/>
      <c r="E8" s="1118"/>
      <c r="F8" s="1118"/>
      <c r="G8" s="1118"/>
      <c r="H8" s="1118"/>
      <c r="I8" s="1118"/>
      <c r="J8" s="545"/>
      <c r="K8" s="545"/>
      <c r="L8" s="545"/>
      <c r="M8" s="545"/>
      <c r="N8" s="545"/>
      <c r="O8" s="545"/>
      <c r="P8" s="545"/>
      <c r="Q8" s="545"/>
      <c r="R8" s="545"/>
      <c r="S8" s="545"/>
      <c r="T8" s="545"/>
      <c r="U8" s="545"/>
      <c r="V8" s="545"/>
      <c r="W8" s="545"/>
      <c r="X8" s="545"/>
      <c r="Y8" s="545"/>
      <c r="Z8" s="545"/>
      <c r="AA8" s="545"/>
      <c r="AB8" s="545"/>
      <c r="AC8" s="545"/>
      <c r="AD8" s="545"/>
    </row>
    <row r="9" spans="1:30" ht="14.25" customHeight="1">
      <c r="A9" s="1118"/>
      <c r="B9" s="1118"/>
      <c r="C9" s="1118"/>
      <c r="D9" s="1118"/>
      <c r="E9" s="1118"/>
      <c r="F9" s="1118"/>
      <c r="G9" s="1118"/>
      <c r="H9" s="1118"/>
      <c r="I9" s="1118"/>
      <c r="J9" s="162"/>
      <c r="K9" s="162"/>
      <c r="L9" s="162"/>
      <c r="M9" s="162"/>
      <c r="N9" s="162"/>
      <c r="O9" s="162"/>
      <c r="P9" s="162"/>
      <c r="Q9" s="162"/>
      <c r="R9" s="162"/>
      <c r="S9" s="162"/>
      <c r="T9" s="162"/>
      <c r="U9" s="162"/>
      <c r="V9" s="162"/>
      <c r="W9" s="162"/>
      <c r="X9" s="162"/>
      <c r="Y9" s="162"/>
      <c r="Z9" s="162"/>
      <c r="AA9" s="162"/>
      <c r="AB9" s="162"/>
      <c r="AC9" s="162"/>
      <c r="AD9" s="162"/>
    </row>
    <row r="10" spans="1:30" ht="14.25" customHeight="1">
      <c r="A10" s="1177" t="s">
        <v>1196</v>
      </c>
      <c r="B10" s="1177"/>
      <c r="C10" s="1177"/>
      <c r="D10" s="1177"/>
      <c r="E10" s="1177"/>
      <c r="F10" s="1177"/>
      <c r="G10" s="1177"/>
      <c r="H10" s="1177"/>
      <c r="I10" s="1177"/>
      <c r="J10" s="162"/>
      <c r="K10" s="162"/>
      <c r="L10" s="162"/>
      <c r="M10" s="162"/>
      <c r="N10" s="162"/>
      <c r="O10" s="162"/>
      <c r="P10" s="162"/>
      <c r="Q10" s="162"/>
      <c r="R10" s="162"/>
      <c r="S10" s="162"/>
      <c r="T10" s="162"/>
      <c r="U10" s="162"/>
      <c r="V10" s="162"/>
      <c r="W10" s="162"/>
      <c r="X10" s="162"/>
      <c r="Y10" s="162"/>
      <c r="Z10" s="162"/>
      <c r="AA10" s="162"/>
      <c r="AB10" s="162"/>
      <c r="AC10" s="162"/>
      <c r="AD10" s="162"/>
    </row>
    <row r="11" spans="1:30" ht="14.25" customHeight="1">
      <c r="A11" s="1177"/>
      <c r="B11" s="1177"/>
      <c r="C11" s="1177"/>
      <c r="D11" s="1177"/>
      <c r="E11" s="1177"/>
      <c r="F11" s="1177"/>
      <c r="G11" s="1177"/>
      <c r="H11" s="1177"/>
      <c r="I11" s="1177"/>
      <c r="J11" s="162"/>
      <c r="K11" s="162"/>
      <c r="L11" s="162"/>
      <c r="M11" s="162"/>
      <c r="N11" s="162"/>
      <c r="O11" s="162"/>
      <c r="P11" s="162"/>
      <c r="Q11" s="162"/>
      <c r="R11" s="162"/>
      <c r="S11" s="162"/>
      <c r="T11" s="162"/>
      <c r="U11" s="162"/>
      <c r="V11" s="162"/>
      <c r="W11" s="162"/>
      <c r="X11" s="162"/>
      <c r="Y11" s="162"/>
      <c r="Z11" s="162"/>
      <c r="AA11" s="162"/>
      <c r="AB11" s="162"/>
      <c r="AC11" s="162"/>
      <c r="AD11" s="162"/>
    </row>
    <row r="12" spans="1:30" ht="14.25" customHeight="1">
      <c r="A12" s="1178"/>
      <c r="B12" s="1178"/>
      <c r="C12" s="1178"/>
      <c r="D12" s="1178"/>
      <c r="E12" s="1178"/>
      <c r="F12" s="1178"/>
      <c r="G12" s="1178"/>
      <c r="H12" s="1178"/>
      <c r="I12" s="1178"/>
      <c r="J12" s="162"/>
      <c r="K12" s="162"/>
      <c r="L12" s="162"/>
      <c r="M12" s="162"/>
      <c r="N12" s="162"/>
      <c r="O12" s="162"/>
      <c r="P12" s="162"/>
      <c r="Q12" s="162"/>
      <c r="R12" s="162"/>
      <c r="S12" s="162"/>
      <c r="T12" s="162"/>
      <c r="U12" s="162"/>
      <c r="V12" s="162"/>
      <c r="W12" s="162"/>
      <c r="X12" s="162"/>
      <c r="Y12" s="162"/>
      <c r="Z12" s="162"/>
      <c r="AA12" s="162"/>
      <c r="AB12" s="162"/>
      <c r="AC12" s="162"/>
      <c r="AD12" s="162"/>
    </row>
    <row r="13" spans="1:30" ht="18" customHeight="1">
      <c r="A13" s="523"/>
      <c r="B13" s="523"/>
      <c r="C13" s="523"/>
      <c r="D13" s="523"/>
      <c r="E13" s="523"/>
      <c r="F13" s="523"/>
      <c r="G13" s="523"/>
      <c r="H13" s="523"/>
      <c r="I13" s="523"/>
      <c r="J13" s="162"/>
      <c r="K13" s="162"/>
      <c r="L13" s="162"/>
      <c r="M13" s="162"/>
      <c r="N13" s="162"/>
      <c r="O13" s="162"/>
      <c r="P13" s="162"/>
      <c r="Q13" s="162"/>
      <c r="R13" s="162"/>
      <c r="S13" s="162"/>
      <c r="T13" s="162"/>
      <c r="U13" s="162"/>
      <c r="V13" s="162"/>
      <c r="W13" s="162"/>
      <c r="X13" s="162"/>
      <c r="Y13" s="162"/>
      <c r="Z13" s="162"/>
      <c r="AA13" s="162"/>
      <c r="AB13" s="162"/>
      <c r="AC13" s="162"/>
      <c r="AD13" s="162"/>
    </row>
    <row r="14" spans="1:30" ht="59.25" customHeight="1">
      <c r="A14" s="1162" t="s">
        <v>1285</v>
      </c>
      <c r="B14" s="1162"/>
      <c r="C14" s="1162"/>
      <c r="D14" s="1162"/>
      <c r="E14" s="1162"/>
      <c r="F14" s="1162"/>
      <c r="G14" s="1162"/>
      <c r="H14" s="1162"/>
      <c r="I14" s="1162"/>
      <c r="J14" s="162"/>
      <c r="K14" s="162"/>
      <c r="L14" s="162"/>
      <c r="M14" s="162"/>
      <c r="N14" s="162"/>
      <c r="O14" s="162"/>
      <c r="P14" s="162"/>
      <c r="Q14" s="162"/>
      <c r="R14" s="162"/>
      <c r="S14" s="162"/>
      <c r="T14" s="162"/>
      <c r="U14" s="162"/>
      <c r="V14" s="162"/>
      <c r="W14" s="162"/>
      <c r="X14" s="162"/>
      <c r="Y14" s="162"/>
      <c r="Z14" s="162"/>
      <c r="AA14" s="162"/>
      <c r="AB14" s="162"/>
      <c r="AC14" s="162"/>
      <c r="AD14" s="162"/>
    </row>
    <row r="15" spans="1:30" ht="18" customHeight="1">
      <c r="A15" s="549" t="s">
        <v>704</v>
      </c>
      <c r="B15" s="527"/>
      <c r="C15" s="527"/>
      <c r="D15" s="527"/>
      <c r="E15" s="527"/>
      <c r="F15" s="527"/>
      <c r="G15" s="527"/>
      <c r="H15" s="527"/>
      <c r="I15" s="527"/>
      <c r="J15" s="4"/>
      <c r="K15" s="162"/>
      <c r="L15" s="162"/>
      <c r="M15" s="162"/>
      <c r="N15" s="162"/>
      <c r="O15" s="162"/>
      <c r="P15" s="162"/>
      <c r="Q15" s="162"/>
      <c r="R15" s="162"/>
      <c r="S15" s="162"/>
      <c r="T15" s="162"/>
      <c r="U15" s="162"/>
      <c r="V15" s="162"/>
      <c r="W15" s="162"/>
      <c r="X15" s="162"/>
      <c r="Y15" s="162"/>
      <c r="Z15" s="162"/>
      <c r="AA15" s="162"/>
      <c r="AB15" s="162"/>
      <c r="AC15" s="162"/>
      <c r="AD15" s="162"/>
    </row>
    <row r="16" spans="1:30" ht="6" customHeight="1">
      <c r="A16" s="493"/>
      <c r="B16" s="487"/>
      <c r="C16" s="487"/>
      <c r="D16" s="487"/>
      <c r="E16" s="487"/>
      <c r="F16" s="487"/>
      <c r="G16" s="487"/>
      <c r="H16" s="487"/>
      <c r="I16" s="487"/>
      <c r="J16" s="4"/>
      <c r="K16" s="162"/>
      <c r="L16" s="162"/>
      <c r="M16" s="162"/>
      <c r="N16" s="162"/>
      <c r="O16" s="162"/>
      <c r="P16" s="162"/>
      <c r="Q16" s="162"/>
      <c r="R16" s="162"/>
      <c r="S16" s="162"/>
      <c r="T16" s="162"/>
      <c r="U16" s="162"/>
      <c r="V16" s="162"/>
      <c r="W16" s="162"/>
      <c r="X16" s="162"/>
      <c r="Y16" s="162"/>
      <c r="Z16" s="162"/>
      <c r="AA16" s="162"/>
      <c r="AB16" s="162"/>
      <c r="AC16" s="162"/>
      <c r="AD16" s="162"/>
    </row>
    <row r="17" spans="1:30" ht="15">
      <c r="A17" s="491" t="s">
        <v>707</v>
      </c>
      <c r="B17" s="487"/>
      <c r="C17" s="487"/>
      <c r="D17" s="487"/>
      <c r="E17" s="487"/>
      <c r="F17" s="487"/>
      <c r="G17" s="487"/>
      <c r="H17" s="487"/>
      <c r="I17" s="487"/>
      <c r="J17" s="4"/>
      <c r="K17" s="162"/>
      <c r="L17" s="162"/>
      <c r="M17" s="162"/>
      <c r="N17" s="162"/>
      <c r="O17" s="162"/>
      <c r="P17" s="162"/>
      <c r="Q17" s="162"/>
      <c r="R17" s="162"/>
      <c r="S17" s="162"/>
      <c r="T17" s="162"/>
      <c r="U17" s="162"/>
      <c r="V17" s="162"/>
      <c r="W17" s="162"/>
      <c r="X17" s="162"/>
      <c r="Y17" s="162"/>
      <c r="Z17" s="162"/>
      <c r="AA17" s="162"/>
      <c r="AB17" s="162"/>
      <c r="AC17" s="162"/>
      <c r="AD17" s="162"/>
    </row>
    <row r="18" spans="1:30" ht="15">
      <c r="A18" s="491"/>
      <c r="B18" s="487" t="s">
        <v>705</v>
      </c>
      <c r="C18" s="487"/>
      <c r="D18" s="487"/>
      <c r="E18" s="1169"/>
      <c r="F18" s="1170"/>
      <c r="G18" s="1170"/>
      <c r="H18" s="1170"/>
      <c r="I18" s="1171"/>
      <c r="J18" s="4"/>
      <c r="K18" s="162"/>
      <c r="L18" s="162"/>
      <c r="M18" s="162"/>
      <c r="N18" s="162"/>
      <c r="O18" s="162"/>
      <c r="P18" s="162"/>
      <c r="Q18" s="162"/>
      <c r="R18" s="162"/>
      <c r="S18" s="162"/>
      <c r="T18" s="162"/>
      <c r="U18" s="162"/>
      <c r="V18" s="162"/>
      <c r="W18" s="162"/>
      <c r="X18" s="162"/>
      <c r="Y18" s="162"/>
      <c r="Z18" s="162"/>
      <c r="AA18" s="162"/>
      <c r="AB18" s="162"/>
      <c r="AC18" s="162"/>
      <c r="AD18" s="162"/>
    </row>
    <row r="19" spans="1:30" ht="15">
      <c r="A19" s="491"/>
      <c r="B19" s="487"/>
      <c r="C19" s="487"/>
      <c r="D19" s="487"/>
      <c r="E19" s="1166"/>
      <c r="F19" s="1167"/>
      <c r="G19" s="1167"/>
      <c r="H19" s="1167"/>
      <c r="I19" s="1168"/>
      <c r="J19" s="4"/>
      <c r="K19" s="162"/>
      <c r="L19" s="162"/>
      <c r="M19" s="162"/>
      <c r="N19" s="162"/>
      <c r="O19" s="162"/>
      <c r="P19" s="162"/>
      <c r="Q19" s="162"/>
      <c r="R19" s="162"/>
      <c r="S19" s="162"/>
      <c r="T19" s="162"/>
      <c r="U19" s="162"/>
      <c r="V19" s="162"/>
      <c r="W19" s="162"/>
      <c r="X19" s="162"/>
      <c r="Y19" s="162"/>
      <c r="Z19" s="162"/>
      <c r="AA19" s="162"/>
      <c r="AB19" s="162"/>
      <c r="AC19" s="162"/>
      <c r="AD19" s="162"/>
    </row>
    <row r="20" spans="1:30" ht="14.25">
      <c r="A20" s="509"/>
      <c r="B20" s="487" t="s">
        <v>706</v>
      </c>
      <c r="C20" s="487"/>
      <c r="D20" s="487"/>
      <c r="E20" s="1169"/>
      <c r="F20" s="1170"/>
      <c r="G20" s="1170"/>
      <c r="H20" s="1170"/>
      <c r="I20" s="1171"/>
      <c r="J20" s="4"/>
      <c r="K20" s="162"/>
      <c r="L20" s="162"/>
      <c r="M20" s="162"/>
      <c r="N20" s="162"/>
      <c r="O20" s="162"/>
      <c r="P20" s="162"/>
      <c r="Q20" s="162"/>
      <c r="R20" s="162"/>
      <c r="S20" s="162"/>
      <c r="T20" s="162"/>
      <c r="U20" s="162"/>
      <c r="V20" s="162"/>
      <c r="W20" s="162"/>
      <c r="X20" s="162"/>
      <c r="Y20" s="162"/>
      <c r="Z20" s="162"/>
      <c r="AA20" s="162"/>
      <c r="AB20" s="162"/>
      <c r="AC20" s="162"/>
      <c r="AD20" s="162"/>
    </row>
    <row r="21" spans="1:30" ht="14.25">
      <c r="A21" s="509"/>
      <c r="B21" s="487"/>
      <c r="C21" s="487"/>
      <c r="D21" s="487"/>
      <c r="E21" s="1166"/>
      <c r="F21" s="1167"/>
      <c r="G21" s="1167"/>
      <c r="H21" s="1167"/>
      <c r="I21" s="1168"/>
      <c r="J21" s="4"/>
      <c r="K21" s="162"/>
      <c r="L21" s="162"/>
      <c r="M21" s="162"/>
      <c r="N21" s="162"/>
      <c r="O21" s="162"/>
      <c r="P21" s="162"/>
      <c r="Q21" s="162"/>
      <c r="R21" s="162"/>
      <c r="S21" s="162"/>
      <c r="T21" s="162"/>
      <c r="U21" s="162"/>
      <c r="V21" s="162"/>
      <c r="W21" s="162"/>
      <c r="X21" s="162"/>
      <c r="Y21" s="162"/>
      <c r="Z21" s="162"/>
      <c r="AA21" s="162"/>
      <c r="AB21" s="162"/>
      <c r="AC21" s="162"/>
      <c r="AD21" s="162"/>
    </row>
    <row r="22" spans="1:30" ht="14.25">
      <c r="A22" s="509"/>
      <c r="B22" s="487"/>
      <c r="C22" s="487"/>
      <c r="D22" s="487"/>
      <c r="E22" s="487"/>
      <c r="F22" s="487"/>
      <c r="G22" s="487"/>
      <c r="H22" s="487"/>
      <c r="I22" s="487"/>
      <c r="J22" s="4"/>
      <c r="K22" s="162"/>
      <c r="L22" s="162"/>
      <c r="M22" s="162"/>
      <c r="N22" s="162"/>
      <c r="O22" s="162"/>
      <c r="P22" s="162"/>
      <c r="Q22" s="162"/>
      <c r="R22" s="162"/>
      <c r="S22" s="162"/>
      <c r="T22" s="162"/>
      <c r="U22" s="162"/>
      <c r="V22" s="162"/>
      <c r="W22" s="162"/>
      <c r="X22" s="162"/>
      <c r="Y22" s="162"/>
      <c r="Z22" s="162"/>
      <c r="AA22" s="162"/>
      <c r="AB22" s="162"/>
      <c r="AC22" s="162"/>
      <c r="AD22" s="162"/>
    </row>
    <row r="23" spans="1:30" ht="15" customHeight="1">
      <c r="A23" s="509"/>
      <c r="B23" s="487" t="s">
        <v>478</v>
      </c>
      <c r="C23" s="487"/>
      <c r="D23" s="487"/>
      <c r="E23" s="1172" t="s">
        <v>1307</v>
      </c>
      <c r="F23" s="1173"/>
      <c r="G23" s="1173"/>
      <c r="H23" s="1173"/>
      <c r="I23" s="1174"/>
      <c r="J23" s="4"/>
      <c r="K23" s="162"/>
      <c r="L23" s="162"/>
      <c r="M23" s="162"/>
      <c r="N23" s="162"/>
      <c r="O23" s="162"/>
      <c r="P23" s="162"/>
      <c r="Q23" s="162"/>
      <c r="R23" s="162"/>
      <c r="S23" s="162"/>
      <c r="T23" s="162"/>
      <c r="U23" s="162"/>
      <c r="V23" s="162"/>
      <c r="W23" s="162"/>
      <c r="X23" s="162"/>
      <c r="Y23" s="162"/>
      <c r="Z23" s="162"/>
      <c r="AA23" s="162"/>
      <c r="AB23" s="162"/>
      <c r="AC23" s="162"/>
      <c r="AD23" s="162"/>
    </row>
    <row r="24" spans="1:30" ht="15" customHeight="1">
      <c r="A24" s="509"/>
      <c r="B24" s="487"/>
      <c r="C24" s="487"/>
      <c r="D24" s="487"/>
      <c r="E24" s="510" t="s">
        <v>690</v>
      </c>
      <c r="F24" s="511" t="s">
        <v>682</v>
      </c>
      <c r="G24" s="512" t="s">
        <v>691</v>
      </c>
      <c r="H24" s="1175" t="s">
        <v>682</v>
      </c>
      <c r="I24" s="1176"/>
      <c r="J24" s="4"/>
      <c r="K24" s="162"/>
      <c r="L24" s="162"/>
      <c r="M24" s="162"/>
      <c r="N24" s="162"/>
      <c r="O24" s="162"/>
      <c r="P24" s="162"/>
      <c r="Q24" s="162"/>
      <c r="R24" s="162"/>
      <c r="S24" s="162"/>
      <c r="T24" s="162"/>
      <c r="U24" s="162"/>
      <c r="V24" s="162"/>
      <c r="W24" s="162"/>
      <c r="X24" s="162"/>
      <c r="Y24" s="162"/>
      <c r="Z24" s="162"/>
      <c r="AA24" s="162"/>
      <c r="AB24" s="162"/>
      <c r="AC24" s="162"/>
      <c r="AD24" s="162"/>
    </row>
    <row r="25" spans="1:30" ht="14.25">
      <c r="A25" s="509"/>
      <c r="B25" s="487"/>
      <c r="C25" s="487"/>
      <c r="D25" s="487"/>
      <c r="E25" s="513"/>
      <c r="F25" s="513"/>
      <c r="G25" s="513"/>
      <c r="H25" s="513"/>
      <c r="I25" s="513"/>
      <c r="J25" s="4"/>
      <c r="K25" s="162"/>
      <c r="L25" s="162"/>
      <c r="M25" s="162"/>
      <c r="N25" s="162"/>
      <c r="O25" s="162"/>
      <c r="P25" s="162"/>
      <c r="Q25" s="162"/>
      <c r="R25" s="162"/>
      <c r="S25" s="162"/>
      <c r="T25" s="162"/>
      <c r="U25" s="162"/>
      <c r="V25" s="162"/>
      <c r="W25" s="162"/>
      <c r="X25" s="162"/>
      <c r="Y25" s="162"/>
      <c r="Z25" s="162"/>
      <c r="AA25" s="162"/>
      <c r="AB25" s="162"/>
      <c r="AC25" s="162"/>
      <c r="AD25" s="162"/>
    </row>
    <row r="26" spans="1:30" ht="14.25">
      <c r="A26" s="509"/>
      <c r="B26" s="487" t="s">
        <v>200</v>
      </c>
      <c r="C26" s="487"/>
      <c r="D26" s="487"/>
      <c r="E26" s="1169"/>
      <c r="F26" s="1170"/>
      <c r="G26" s="1170"/>
      <c r="H26" s="1170"/>
      <c r="I26" s="1171"/>
      <c r="J26" s="4"/>
      <c r="K26" s="162"/>
      <c r="L26" s="162"/>
      <c r="M26" s="162"/>
      <c r="N26" s="162"/>
      <c r="O26" s="162"/>
      <c r="P26" s="162"/>
      <c r="Q26" s="162"/>
      <c r="R26" s="162"/>
      <c r="S26" s="162"/>
      <c r="T26" s="162"/>
      <c r="U26" s="162"/>
      <c r="V26" s="162"/>
      <c r="W26" s="162"/>
      <c r="X26" s="162"/>
      <c r="Y26" s="162"/>
      <c r="Z26" s="162"/>
      <c r="AA26" s="162"/>
      <c r="AB26" s="162"/>
      <c r="AC26" s="162"/>
      <c r="AD26" s="162"/>
    </row>
    <row r="27" spans="1:30" ht="14.25">
      <c r="A27" s="509"/>
      <c r="B27" s="487" t="s">
        <v>201</v>
      </c>
      <c r="C27" s="487"/>
      <c r="D27" s="487"/>
      <c r="E27" s="1169"/>
      <c r="F27" s="1170"/>
      <c r="G27" s="1170"/>
      <c r="H27" s="1170"/>
      <c r="I27" s="1171"/>
      <c r="J27" s="4"/>
      <c r="K27" s="162"/>
      <c r="L27" s="162"/>
      <c r="M27" s="162"/>
      <c r="N27" s="162"/>
      <c r="O27" s="162"/>
      <c r="P27" s="162"/>
      <c r="Q27" s="162"/>
      <c r="R27" s="162"/>
      <c r="S27" s="162"/>
      <c r="T27" s="162"/>
      <c r="U27" s="162"/>
      <c r="V27" s="162"/>
      <c r="W27" s="162"/>
      <c r="X27" s="162"/>
      <c r="Y27" s="162"/>
      <c r="Z27" s="162"/>
      <c r="AA27" s="162"/>
      <c r="AB27" s="162"/>
      <c r="AC27" s="162"/>
      <c r="AD27" s="162"/>
    </row>
    <row r="28" spans="1:30" ht="14.25">
      <c r="A28" s="509"/>
      <c r="B28" s="487" t="s">
        <v>202</v>
      </c>
      <c r="C28" s="487"/>
      <c r="D28" s="487"/>
      <c r="E28" s="1163"/>
      <c r="F28" s="1164"/>
      <c r="G28" s="1164"/>
      <c r="H28" s="1164"/>
      <c r="I28" s="1165"/>
      <c r="J28" s="4"/>
      <c r="K28" s="162"/>
      <c r="L28" s="162"/>
      <c r="M28" s="162"/>
      <c r="N28" s="162"/>
      <c r="O28" s="162"/>
      <c r="P28" s="162"/>
      <c r="Q28" s="162"/>
      <c r="R28" s="162"/>
      <c r="S28" s="162"/>
      <c r="T28" s="162"/>
      <c r="U28" s="162"/>
      <c r="V28" s="162"/>
      <c r="W28" s="162"/>
      <c r="X28" s="162"/>
      <c r="Y28" s="162"/>
      <c r="Z28" s="162"/>
      <c r="AA28" s="162"/>
      <c r="AB28" s="162"/>
      <c r="AC28" s="162"/>
      <c r="AD28" s="162"/>
    </row>
    <row r="29" spans="1:30" ht="8.25" customHeight="1">
      <c r="A29" s="487"/>
      <c r="B29" s="487"/>
      <c r="C29" s="487"/>
      <c r="D29" s="487"/>
      <c r="E29" s="487"/>
      <c r="F29" s="487"/>
      <c r="G29" s="487"/>
      <c r="H29" s="487"/>
      <c r="I29" s="487"/>
      <c r="J29" s="4"/>
      <c r="K29" s="162"/>
      <c r="L29" s="162"/>
      <c r="M29" s="162"/>
      <c r="N29" s="162"/>
      <c r="O29" s="162"/>
      <c r="P29" s="162"/>
      <c r="Q29" s="162"/>
      <c r="R29" s="162"/>
      <c r="S29" s="162"/>
      <c r="T29" s="162"/>
      <c r="U29" s="162"/>
      <c r="V29" s="162"/>
      <c r="W29" s="162"/>
      <c r="X29" s="162"/>
      <c r="Y29" s="162"/>
      <c r="Z29" s="162"/>
      <c r="AA29" s="162"/>
      <c r="AB29" s="162"/>
      <c r="AC29" s="162"/>
      <c r="AD29" s="162"/>
    </row>
    <row r="30" spans="1:30" ht="18.75">
      <c r="A30" s="551" t="s">
        <v>708</v>
      </c>
      <c r="B30" s="550"/>
      <c r="C30" s="550"/>
      <c r="D30" s="487"/>
      <c r="E30" s="487"/>
      <c r="F30" s="487"/>
      <c r="G30" s="487"/>
      <c r="H30" s="487"/>
      <c r="I30" s="487"/>
      <c r="J30" s="4"/>
      <c r="K30" s="162"/>
      <c r="L30" s="162"/>
      <c r="M30" s="162"/>
      <c r="N30" s="162"/>
      <c r="O30" s="162"/>
      <c r="P30" s="162"/>
      <c r="Q30" s="162"/>
      <c r="R30" s="162"/>
      <c r="S30" s="162"/>
      <c r="T30" s="162"/>
      <c r="U30" s="162"/>
      <c r="V30" s="162"/>
      <c r="W30" s="162"/>
      <c r="X30" s="162"/>
      <c r="Y30" s="162"/>
      <c r="Z30" s="162"/>
      <c r="AA30" s="162"/>
      <c r="AB30" s="162"/>
      <c r="AC30" s="162"/>
      <c r="AD30" s="162"/>
    </row>
    <row r="31" spans="1:30" ht="6" customHeight="1">
      <c r="A31" s="487"/>
      <c r="B31" s="487"/>
      <c r="C31" s="487"/>
      <c r="D31" s="487"/>
      <c r="E31" s="487"/>
      <c r="F31" s="487"/>
      <c r="G31" s="487"/>
      <c r="H31" s="487"/>
      <c r="I31" s="514"/>
      <c r="J31" s="8"/>
      <c r="K31" s="162"/>
      <c r="L31" s="162"/>
      <c r="M31" s="162"/>
      <c r="N31" s="162"/>
      <c r="O31" s="162"/>
      <c r="P31" s="162"/>
      <c r="Q31" s="162"/>
      <c r="R31" s="162"/>
      <c r="S31" s="162"/>
      <c r="T31" s="162"/>
      <c r="U31" s="162"/>
      <c r="V31" s="162"/>
      <c r="W31" s="162"/>
      <c r="X31" s="162"/>
      <c r="Y31" s="162"/>
      <c r="Z31" s="162"/>
      <c r="AA31" s="162"/>
      <c r="AB31" s="162"/>
      <c r="AC31" s="162"/>
      <c r="AD31" s="162"/>
    </row>
    <row r="32" spans="1:30" ht="14.25">
      <c r="A32" s="487"/>
      <c r="B32" s="603" t="s">
        <v>725</v>
      </c>
      <c r="C32" s="487"/>
      <c r="D32" s="487"/>
      <c r="E32" s="487"/>
      <c r="F32" s="487"/>
      <c r="G32" s="487"/>
      <c r="H32" s="487"/>
      <c r="I32" s="487"/>
      <c r="J32" s="8"/>
      <c r="K32" s="162"/>
      <c r="L32" s="162"/>
      <c r="M32" s="162"/>
      <c r="N32" s="162"/>
      <c r="O32" s="162"/>
      <c r="P32" s="162"/>
      <c r="Q32" s="162"/>
      <c r="R32" s="162"/>
      <c r="S32" s="162"/>
      <c r="T32" s="162"/>
      <c r="U32" s="162"/>
      <c r="V32" s="162"/>
      <c r="W32" s="162"/>
      <c r="X32" s="162"/>
      <c r="Y32" s="162"/>
      <c r="Z32" s="162"/>
      <c r="AA32" s="162"/>
      <c r="AB32" s="162"/>
      <c r="AC32" s="162"/>
      <c r="AD32" s="162"/>
    </row>
    <row r="33" spans="1:30" ht="21" customHeight="1">
      <c r="A33" s="487"/>
      <c r="B33" s="516" t="s">
        <v>138</v>
      </c>
      <c r="C33" s="517"/>
      <c r="D33" s="517"/>
      <c r="E33" s="517"/>
      <c r="F33" s="518"/>
      <c r="G33" s="519">
        <f>'Stationary Combustion'!E140</f>
        <v>3824.2491212543723</v>
      </c>
      <c r="H33" s="487" t="s">
        <v>687</v>
      </c>
      <c r="I33" s="487"/>
      <c r="J33" s="8"/>
      <c r="K33" s="162"/>
      <c r="L33" s="162"/>
      <c r="M33" s="162"/>
      <c r="N33" s="162"/>
      <c r="O33" s="162"/>
      <c r="P33" s="162"/>
      <c r="Q33" s="162"/>
      <c r="R33" s="162"/>
      <c r="S33" s="162"/>
      <c r="T33" s="162"/>
      <c r="U33" s="162"/>
      <c r="V33" s="162"/>
      <c r="W33" s="162"/>
      <c r="X33" s="162"/>
      <c r="Y33" s="162"/>
      <c r="Z33" s="162"/>
      <c r="AA33" s="162"/>
      <c r="AB33" s="162"/>
      <c r="AC33" s="162"/>
      <c r="AD33" s="162"/>
    </row>
    <row r="34" spans="1:30" ht="21" customHeight="1">
      <c r="A34" s="487"/>
      <c r="B34" s="516" t="s">
        <v>139</v>
      </c>
      <c r="C34" s="517"/>
      <c r="D34" s="517"/>
      <c r="E34" s="517"/>
      <c r="F34" s="518"/>
      <c r="G34" s="519">
        <f>'Mobile Sources'!E313</f>
        <v>78.461364998999997</v>
      </c>
      <c r="H34" s="487" t="s">
        <v>687</v>
      </c>
      <c r="I34" s="487"/>
      <c r="J34" s="8"/>
      <c r="K34" s="162"/>
      <c r="L34" s="162"/>
      <c r="M34" s="162"/>
      <c r="N34" s="162"/>
      <c r="O34" s="162"/>
      <c r="P34" s="162"/>
      <c r="Q34" s="162"/>
      <c r="R34" s="162"/>
      <c r="S34" s="162"/>
      <c r="T34" s="162"/>
      <c r="U34" s="162"/>
      <c r="V34" s="162"/>
      <c r="W34" s="162"/>
      <c r="X34" s="162"/>
      <c r="Y34" s="162"/>
      <c r="Z34" s="162"/>
      <c r="AA34" s="162"/>
      <c r="AB34" s="162"/>
      <c r="AC34" s="162"/>
      <c r="AD34" s="162"/>
    </row>
    <row r="35" spans="1:30" ht="21" customHeight="1">
      <c r="A35" s="487"/>
      <c r="B35" s="516" t="s">
        <v>413</v>
      </c>
      <c r="C35" s="517"/>
      <c r="D35" s="517"/>
      <c r="E35" s="517"/>
      <c r="F35" s="518"/>
      <c r="G35" s="519">
        <f>'Refrigeration and AC'!F329</f>
        <v>3701.6499274999919</v>
      </c>
      <c r="H35" s="487" t="s">
        <v>687</v>
      </c>
      <c r="I35" s="487"/>
      <c r="J35" s="8"/>
      <c r="K35" s="162"/>
      <c r="L35" s="162"/>
      <c r="M35" s="162"/>
      <c r="N35" s="162"/>
      <c r="O35" s="162"/>
      <c r="P35" s="162"/>
      <c r="Q35" s="162"/>
      <c r="R35" s="162"/>
      <c r="S35" s="162"/>
      <c r="T35" s="162"/>
      <c r="U35" s="162"/>
      <c r="V35" s="162"/>
      <c r="W35" s="162"/>
      <c r="X35" s="162"/>
      <c r="Y35" s="162"/>
      <c r="Z35" s="162"/>
      <c r="AA35" s="162"/>
      <c r="AB35" s="162"/>
      <c r="AC35" s="162"/>
      <c r="AD35" s="162"/>
    </row>
    <row r="36" spans="1:30" ht="21" customHeight="1">
      <c r="A36" s="487"/>
      <c r="B36" s="516" t="s">
        <v>278</v>
      </c>
      <c r="C36" s="517"/>
      <c r="D36" s="517"/>
      <c r="E36" s="517"/>
      <c r="F36" s="518"/>
      <c r="G36" s="519">
        <f>'Fire Suppression'!F109</f>
        <v>0</v>
      </c>
      <c r="H36" s="487" t="s">
        <v>687</v>
      </c>
      <c r="I36" s="487"/>
      <c r="J36" s="8"/>
      <c r="K36" s="162"/>
      <c r="L36" s="162"/>
      <c r="M36" s="162"/>
      <c r="N36" s="162"/>
      <c r="O36" s="162"/>
      <c r="P36" s="162"/>
      <c r="Q36" s="162"/>
      <c r="R36" s="162"/>
      <c r="S36" s="162"/>
      <c r="T36" s="162"/>
      <c r="U36" s="162"/>
      <c r="V36" s="162"/>
      <c r="W36" s="162"/>
      <c r="X36" s="162"/>
      <c r="Y36" s="162"/>
      <c r="Z36" s="162"/>
      <c r="AA36" s="162"/>
      <c r="AB36" s="162"/>
      <c r="AC36" s="162"/>
      <c r="AD36" s="162"/>
    </row>
    <row r="37" spans="1:30" ht="21" customHeight="1">
      <c r="A37" s="487"/>
      <c r="B37" s="516" t="s">
        <v>479</v>
      </c>
      <c r="C37" s="517"/>
      <c r="D37" s="517"/>
      <c r="E37" s="517"/>
      <c r="F37" s="518"/>
      <c r="G37" s="519">
        <f>'Purchased Gases'!E30</f>
        <v>1247.4000000000001</v>
      </c>
      <c r="H37" s="487" t="s">
        <v>687</v>
      </c>
      <c r="I37" s="487"/>
      <c r="J37" s="8"/>
      <c r="K37" s="162"/>
      <c r="L37" s="162"/>
      <c r="M37" s="162"/>
      <c r="N37" s="162"/>
      <c r="O37" s="162"/>
      <c r="P37" s="162"/>
      <c r="Q37" s="162"/>
      <c r="R37" s="162"/>
      <c r="S37" s="162"/>
      <c r="T37" s="162"/>
      <c r="U37" s="162"/>
      <c r="V37" s="162"/>
      <c r="W37" s="162"/>
      <c r="X37" s="162"/>
      <c r="Y37" s="162"/>
      <c r="Z37" s="162"/>
      <c r="AA37" s="162"/>
      <c r="AB37" s="162"/>
      <c r="AC37" s="162"/>
      <c r="AD37" s="162"/>
    </row>
    <row r="38" spans="1:30" ht="14.25">
      <c r="A38" s="487"/>
      <c r="B38" s="487"/>
      <c r="C38" s="487"/>
      <c r="D38" s="487"/>
      <c r="E38" s="487"/>
      <c r="F38" s="520"/>
      <c r="G38" s="487"/>
      <c r="H38" s="487"/>
      <c r="I38" s="487"/>
      <c r="J38" s="8"/>
      <c r="K38" s="162"/>
      <c r="L38" s="162"/>
      <c r="M38" s="162"/>
      <c r="N38" s="162"/>
      <c r="O38" s="162"/>
      <c r="P38" s="162"/>
      <c r="Q38" s="162"/>
      <c r="R38" s="162"/>
      <c r="S38" s="162"/>
      <c r="T38" s="162"/>
      <c r="U38" s="162"/>
      <c r="V38" s="162"/>
      <c r="W38" s="162"/>
      <c r="X38" s="162"/>
      <c r="Y38" s="162"/>
      <c r="Z38" s="162"/>
      <c r="AA38" s="162"/>
      <c r="AB38" s="162"/>
      <c r="AC38" s="162"/>
      <c r="AD38" s="162"/>
    </row>
    <row r="39" spans="1:30" ht="14.25">
      <c r="A39" s="487"/>
      <c r="B39" s="515" t="s">
        <v>936</v>
      </c>
      <c r="C39" s="487"/>
      <c r="D39" s="500"/>
      <c r="E39" s="487"/>
      <c r="F39" s="520"/>
      <c r="G39" s="487"/>
      <c r="H39" s="487"/>
      <c r="I39" s="487"/>
      <c r="J39" s="4"/>
      <c r="K39" s="162"/>
      <c r="L39" s="162"/>
      <c r="M39" s="162"/>
      <c r="N39" s="162"/>
      <c r="O39" s="162"/>
      <c r="P39" s="162"/>
      <c r="Q39" s="162"/>
      <c r="R39" s="162"/>
      <c r="S39" s="162"/>
      <c r="T39" s="162"/>
      <c r="U39" s="162"/>
      <c r="V39" s="162"/>
      <c r="W39" s="162"/>
      <c r="X39" s="162"/>
      <c r="Y39" s="162"/>
      <c r="Z39" s="162"/>
      <c r="AA39" s="162"/>
      <c r="AB39" s="162"/>
      <c r="AC39" s="162"/>
      <c r="AD39" s="162"/>
    </row>
    <row r="40" spans="1:30" ht="21" customHeight="1">
      <c r="A40" s="487"/>
      <c r="B40" s="516" t="s">
        <v>140</v>
      </c>
      <c r="C40" s="517"/>
      <c r="D40" s="517"/>
      <c r="E40" s="517"/>
      <c r="F40" s="518"/>
      <c r="G40" s="519">
        <f>Electricity!E63</f>
        <v>77.840005320000017</v>
      </c>
      <c r="H40" s="487" t="s">
        <v>687</v>
      </c>
      <c r="I40" s="487"/>
      <c r="J40" s="4"/>
      <c r="K40" s="162"/>
      <c r="L40" s="162"/>
      <c r="M40" s="162"/>
      <c r="N40" s="162"/>
      <c r="O40" s="162"/>
      <c r="P40" s="162"/>
      <c r="Q40" s="162"/>
      <c r="R40" s="162"/>
      <c r="S40" s="162"/>
      <c r="T40" s="162"/>
      <c r="U40" s="162"/>
      <c r="V40" s="162"/>
      <c r="W40" s="162"/>
      <c r="X40" s="162"/>
      <c r="Y40" s="162"/>
      <c r="Z40" s="162"/>
      <c r="AA40" s="162"/>
      <c r="AB40" s="162"/>
      <c r="AC40" s="162"/>
      <c r="AD40" s="162"/>
    </row>
    <row r="41" spans="1:30" ht="21" customHeight="1">
      <c r="A41" s="487"/>
      <c r="B41" s="516" t="s">
        <v>141</v>
      </c>
      <c r="C41" s="517"/>
      <c r="D41" s="517"/>
      <c r="E41" s="517"/>
      <c r="F41" s="518"/>
      <c r="G41" s="519">
        <f>Steam!F87</f>
        <v>0</v>
      </c>
      <c r="H41" s="487" t="s">
        <v>687</v>
      </c>
      <c r="I41" s="487"/>
      <c r="J41" s="4"/>
      <c r="K41" s="162"/>
      <c r="L41" s="162"/>
      <c r="M41" s="162"/>
      <c r="N41" s="162"/>
      <c r="O41" s="162"/>
      <c r="P41" s="162"/>
      <c r="Q41" s="162"/>
      <c r="R41" s="162"/>
      <c r="S41" s="162"/>
      <c r="T41" s="162"/>
      <c r="U41" s="162"/>
      <c r="V41" s="162"/>
      <c r="W41" s="162"/>
      <c r="X41" s="162"/>
      <c r="Y41" s="162"/>
      <c r="Z41" s="162"/>
      <c r="AA41" s="162"/>
      <c r="AB41" s="162"/>
      <c r="AC41" s="162"/>
      <c r="AD41" s="162"/>
    </row>
    <row r="42" spans="1:30" ht="14.25">
      <c r="A42" s="487"/>
      <c r="B42" s="487"/>
      <c r="C42" s="487"/>
      <c r="D42" s="487"/>
      <c r="E42" s="487"/>
      <c r="F42" s="520"/>
      <c r="G42" s="487"/>
      <c r="H42" s="487"/>
      <c r="I42" s="487"/>
      <c r="J42" s="4"/>
      <c r="K42" s="162"/>
      <c r="L42" s="162"/>
      <c r="M42" s="162"/>
      <c r="N42" s="162"/>
      <c r="O42" s="162"/>
      <c r="P42" s="162"/>
      <c r="Q42" s="162"/>
      <c r="R42" s="162"/>
      <c r="S42" s="162"/>
      <c r="T42" s="162"/>
      <c r="U42" s="162"/>
      <c r="V42" s="162"/>
      <c r="W42" s="162"/>
      <c r="X42" s="162"/>
      <c r="Y42" s="162"/>
      <c r="Z42" s="162"/>
      <c r="AA42" s="162"/>
      <c r="AB42" s="162"/>
      <c r="AC42" s="162"/>
      <c r="AD42" s="162"/>
    </row>
    <row r="43" spans="1:30" ht="14.25">
      <c r="A43" s="487"/>
      <c r="B43" s="515" t="s">
        <v>937</v>
      </c>
      <c r="C43" s="487"/>
      <c r="D43" s="500"/>
      <c r="E43" s="487"/>
      <c r="F43" s="520"/>
      <c r="G43" s="487"/>
      <c r="H43" s="487"/>
      <c r="I43" s="487"/>
      <c r="J43" s="4"/>
      <c r="K43" s="162"/>
      <c r="L43" s="162"/>
      <c r="M43" s="162"/>
      <c r="N43" s="162"/>
      <c r="O43" s="162"/>
      <c r="P43" s="162"/>
      <c r="Q43" s="162"/>
      <c r="R43" s="162"/>
      <c r="S43" s="162"/>
      <c r="T43" s="162"/>
      <c r="U43" s="162"/>
      <c r="V43" s="162"/>
      <c r="W43" s="162"/>
      <c r="X43" s="162"/>
      <c r="Y43" s="162"/>
      <c r="Z43" s="162"/>
      <c r="AA43" s="162"/>
      <c r="AB43" s="162"/>
      <c r="AC43" s="162"/>
      <c r="AD43" s="162"/>
    </row>
    <row r="44" spans="1:30" ht="21" customHeight="1">
      <c r="A44" s="487"/>
      <c r="B44" s="516" t="s">
        <v>140</v>
      </c>
      <c r="C44" s="517"/>
      <c r="D44" s="517"/>
      <c r="E44" s="517"/>
      <c r="F44" s="518"/>
      <c r="G44" s="519">
        <f>Electricity!E64</f>
        <v>77.840005320000017</v>
      </c>
      <c r="H44" s="487" t="s">
        <v>687</v>
      </c>
      <c r="I44" s="487"/>
      <c r="J44" s="8"/>
      <c r="K44" s="162"/>
      <c r="L44" s="162"/>
      <c r="M44" s="162"/>
      <c r="N44" s="162"/>
      <c r="O44" s="162"/>
      <c r="P44" s="162"/>
      <c r="Q44" s="162"/>
      <c r="R44" s="162"/>
      <c r="S44" s="162"/>
      <c r="T44" s="162"/>
      <c r="U44" s="162"/>
      <c r="V44" s="162"/>
      <c r="W44" s="162"/>
      <c r="X44" s="162"/>
      <c r="Y44" s="162"/>
      <c r="Z44" s="162"/>
      <c r="AA44" s="162"/>
      <c r="AB44" s="162"/>
      <c r="AC44" s="162"/>
      <c r="AD44" s="162"/>
    </row>
    <row r="45" spans="1:30" ht="21" customHeight="1">
      <c r="A45" s="487"/>
      <c r="B45" s="516" t="s">
        <v>141</v>
      </c>
      <c r="C45" s="517"/>
      <c r="D45" s="517"/>
      <c r="E45" s="517"/>
      <c r="F45" s="518"/>
      <c r="G45" s="519">
        <f>Steam!F88</f>
        <v>0</v>
      </c>
      <c r="H45" s="487" t="s">
        <v>687</v>
      </c>
      <c r="I45" s="487"/>
      <c r="J45" s="4"/>
      <c r="K45" s="162"/>
      <c r="L45" s="162"/>
      <c r="M45" s="162"/>
      <c r="N45" s="162"/>
      <c r="O45" s="162"/>
      <c r="P45" s="162"/>
      <c r="Q45" s="162"/>
      <c r="R45" s="162"/>
      <c r="S45" s="162"/>
      <c r="T45" s="162"/>
      <c r="U45" s="162"/>
      <c r="V45" s="162"/>
      <c r="W45" s="162"/>
      <c r="X45" s="162"/>
      <c r="Y45" s="162"/>
      <c r="Z45" s="162"/>
      <c r="AA45" s="162"/>
      <c r="AB45" s="162"/>
      <c r="AC45" s="162"/>
      <c r="AD45" s="162"/>
    </row>
    <row r="46" spans="1:30" ht="14.25">
      <c r="A46" s="487"/>
      <c r="B46" s="487"/>
      <c r="C46" s="487"/>
      <c r="D46" s="487"/>
      <c r="E46" s="487"/>
      <c r="F46" s="520"/>
      <c r="G46" s="487"/>
      <c r="H46" s="487"/>
      <c r="I46" s="487"/>
      <c r="J46" s="4"/>
      <c r="K46" s="162"/>
      <c r="L46" s="162"/>
      <c r="M46" s="162"/>
      <c r="N46" s="162"/>
      <c r="O46" s="162"/>
      <c r="P46" s="162"/>
      <c r="Q46" s="162"/>
      <c r="R46" s="162"/>
      <c r="S46" s="162"/>
      <c r="T46" s="162"/>
      <c r="U46" s="162"/>
      <c r="V46" s="162"/>
      <c r="W46" s="162"/>
      <c r="X46" s="162"/>
      <c r="Y46" s="162"/>
      <c r="Z46" s="162"/>
      <c r="AA46" s="162"/>
      <c r="AB46" s="162"/>
      <c r="AC46" s="162"/>
      <c r="AD46" s="162"/>
    </row>
    <row r="47" spans="1:30" ht="15" thickBot="1">
      <c r="A47" s="487"/>
      <c r="B47" s="515" t="s">
        <v>990</v>
      </c>
      <c r="C47" s="487"/>
      <c r="D47" s="487"/>
      <c r="E47" s="487"/>
      <c r="F47" s="520"/>
      <c r="G47" s="487"/>
      <c r="H47" s="487"/>
      <c r="I47" s="487"/>
      <c r="J47" s="4"/>
      <c r="K47" s="162"/>
      <c r="L47" s="162"/>
      <c r="M47" s="162"/>
      <c r="N47" s="162"/>
      <c r="O47" s="162"/>
      <c r="P47" s="162"/>
      <c r="Q47" s="162"/>
      <c r="R47" s="162"/>
      <c r="S47" s="162"/>
      <c r="T47" s="162"/>
      <c r="U47" s="162"/>
      <c r="V47" s="162"/>
      <c r="W47" s="162"/>
      <c r="X47" s="162"/>
      <c r="Y47" s="162"/>
      <c r="Z47" s="162"/>
      <c r="AA47" s="162"/>
      <c r="AB47" s="162"/>
      <c r="AC47" s="162"/>
      <c r="AD47" s="162"/>
    </row>
    <row r="48" spans="1:30" ht="19.5" thickBot="1">
      <c r="A48" s="487"/>
      <c r="B48" s="604" t="s">
        <v>841</v>
      </c>
      <c r="C48" s="605"/>
      <c r="D48" s="605"/>
      <c r="E48" s="605"/>
      <c r="F48" s="522"/>
      <c r="G48" s="593">
        <f>SUM(G33:G37,G40:G41)</f>
        <v>8929.6004190733638</v>
      </c>
      <c r="H48" s="487" t="s">
        <v>687</v>
      </c>
      <c r="I48" s="487"/>
      <c r="J48" s="4"/>
      <c r="K48" s="162"/>
      <c r="L48" s="162"/>
      <c r="M48" s="162"/>
      <c r="N48" s="162"/>
      <c r="O48" s="162"/>
      <c r="P48" s="162"/>
      <c r="Q48" s="162"/>
      <c r="R48" s="162"/>
      <c r="S48" s="162"/>
      <c r="T48" s="162"/>
      <c r="U48" s="162"/>
      <c r="V48" s="162"/>
      <c r="W48" s="162"/>
      <c r="X48" s="162"/>
      <c r="Y48" s="162"/>
      <c r="Z48" s="162"/>
      <c r="AA48" s="162"/>
      <c r="AB48" s="162"/>
      <c r="AC48" s="162"/>
      <c r="AD48" s="162"/>
    </row>
    <row r="49" spans="1:30" ht="19.5" thickBot="1">
      <c r="A49" s="487"/>
      <c r="B49" s="606" t="s">
        <v>842</v>
      </c>
      <c r="C49" s="607"/>
      <c r="D49" s="607"/>
      <c r="E49" s="607"/>
      <c r="F49" s="591"/>
      <c r="G49" s="592">
        <f>SUM(G33:G37,G44:G45)</f>
        <v>8929.6004190733638</v>
      </c>
      <c r="H49" s="487" t="s">
        <v>687</v>
      </c>
      <c r="I49" s="487"/>
      <c r="J49" s="4"/>
      <c r="K49" s="162"/>
      <c r="L49" s="162"/>
      <c r="M49" s="162"/>
      <c r="N49" s="162"/>
      <c r="O49" s="162"/>
      <c r="P49" s="162"/>
      <c r="Q49" s="162"/>
      <c r="R49" s="162"/>
      <c r="S49" s="162"/>
      <c r="T49" s="162"/>
      <c r="U49" s="162"/>
      <c r="V49" s="162"/>
      <c r="W49" s="162"/>
      <c r="X49" s="162"/>
      <c r="Y49" s="162"/>
      <c r="Z49" s="162"/>
      <c r="AA49" s="162"/>
      <c r="AB49" s="162"/>
      <c r="AC49" s="162"/>
      <c r="AD49" s="162"/>
    </row>
    <row r="50" spans="1:30" ht="14.25">
      <c r="A50" s="487"/>
      <c r="B50" s="487"/>
      <c r="C50" s="487"/>
      <c r="D50" s="487"/>
      <c r="E50" s="487"/>
      <c r="F50" s="487"/>
      <c r="G50" s="487"/>
      <c r="H50" s="487"/>
      <c r="I50" s="487"/>
      <c r="J50" s="4"/>
      <c r="K50" s="162"/>
      <c r="L50" s="162"/>
      <c r="M50" s="162"/>
      <c r="N50" s="162"/>
      <c r="O50" s="162"/>
      <c r="P50" s="162"/>
      <c r="Q50" s="162"/>
      <c r="R50" s="162"/>
      <c r="S50" s="162"/>
      <c r="T50" s="162"/>
      <c r="U50" s="162"/>
      <c r="V50" s="162"/>
      <c r="W50" s="162"/>
      <c r="X50" s="162"/>
      <c r="Y50" s="162"/>
      <c r="Z50" s="162"/>
      <c r="AA50" s="162"/>
      <c r="AB50" s="162"/>
      <c r="AC50" s="162"/>
      <c r="AD50" s="162"/>
    </row>
    <row r="51" spans="1:30" ht="14.25">
      <c r="A51" s="487"/>
      <c r="B51" s="515" t="s">
        <v>223</v>
      </c>
      <c r="C51" s="487"/>
      <c r="D51" s="487"/>
      <c r="E51" s="487"/>
      <c r="F51" s="520"/>
      <c r="G51" s="487"/>
      <c r="H51" s="487"/>
      <c r="I51" s="487"/>
      <c r="J51" s="4"/>
      <c r="K51" s="162"/>
      <c r="L51" s="162"/>
      <c r="M51" s="162"/>
      <c r="N51" s="162"/>
      <c r="O51" s="162"/>
      <c r="P51" s="162"/>
      <c r="Q51" s="162"/>
      <c r="R51" s="162"/>
      <c r="S51" s="162"/>
      <c r="T51" s="162"/>
      <c r="U51" s="162"/>
      <c r="V51" s="162"/>
      <c r="W51" s="162"/>
      <c r="X51" s="162"/>
      <c r="Y51" s="162"/>
      <c r="Z51" s="162"/>
      <c r="AA51" s="162"/>
      <c r="AB51" s="162"/>
      <c r="AC51" s="162"/>
      <c r="AD51" s="162"/>
    </row>
    <row r="52" spans="1:30" ht="21" customHeight="1">
      <c r="A52" s="487"/>
      <c r="B52" s="516" t="s">
        <v>216</v>
      </c>
      <c r="C52" s="517"/>
      <c r="D52" s="517"/>
      <c r="E52" s="517"/>
      <c r="F52" s="518"/>
      <c r="G52" s="521">
        <f>Offsets!C25</f>
        <v>0</v>
      </c>
      <c r="H52" s="487" t="s">
        <v>687</v>
      </c>
      <c r="I52" s="487"/>
      <c r="J52" s="4"/>
      <c r="K52" s="162"/>
      <c r="L52" s="162"/>
      <c r="M52" s="162"/>
      <c r="N52" s="162"/>
      <c r="O52" s="162"/>
      <c r="P52" s="162"/>
      <c r="Q52" s="162"/>
      <c r="R52" s="162"/>
      <c r="S52" s="162"/>
      <c r="T52" s="162"/>
      <c r="U52" s="162"/>
      <c r="V52" s="162"/>
      <c r="W52" s="162"/>
      <c r="X52" s="162"/>
      <c r="Y52" s="162"/>
      <c r="Z52" s="162"/>
      <c r="AA52" s="162"/>
      <c r="AB52" s="162"/>
      <c r="AC52" s="162"/>
      <c r="AD52" s="162"/>
    </row>
    <row r="53" spans="1:30" ht="14.25">
      <c r="A53" s="487"/>
      <c r="B53" s="487"/>
      <c r="C53" s="487"/>
      <c r="D53" s="487"/>
      <c r="E53" s="487"/>
      <c r="F53" s="487"/>
      <c r="G53" s="487"/>
      <c r="H53" s="487"/>
      <c r="I53" s="487"/>
      <c r="J53" s="4"/>
      <c r="K53" s="162"/>
      <c r="L53" s="162"/>
      <c r="M53" s="162"/>
      <c r="N53" s="162"/>
      <c r="O53" s="162"/>
      <c r="P53" s="162"/>
      <c r="Q53" s="162"/>
      <c r="R53" s="162"/>
      <c r="S53" s="162"/>
      <c r="T53" s="162"/>
      <c r="U53" s="162"/>
      <c r="V53" s="162"/>
      <c r="W53" s="162"/>
      <c r="X53" s="162"/>
      <c r="Y53" s="162"/>
      <c r="Z53" s="162"/>
      <c r="AA53" s="162"/>
      <c r="AB53" s="162"/>
      <c r="AC53" s="162"/>
      <c r="AD53" s="162"/>
    </row>
    <row r="54" spans="1:30" ht="18.75">
      <c r="A54" s="487"/>
      <c r="B54" s="608" t="s">
        <v>843</v>
      </c>
      <c r="C54" s="609"/>
      <c r="D54" s="517"/>
      <c r="E54" s="517"/>
      <c r="F54" s="518"/>
      <c r="G54" s="519">
        <f>IF(G48-G52&lt;0,0,G48-G52)</f>
        <v>8929.6004190733638</v>
      </c>
      <c r="H54" s="487" t="s">
        <v>687</v>
      </c>
      <c r="I54" s="487"/>
      <c r="J54" s="4"/>
      <c r="K54" s="162"/>
      <c r="L54" s="162"/>
      <c r="M54" s="162"/>
      <c r="N54" s="162"/>
      <c r="O54" s="162"/>
      <c r="P54" s="162"/>
      <c r="Q54" s="162"/>
      <c r="R54" s="162"/>
      <c r="S54" s="162"/>
      <c r="T54" s="162"/>
      <c r="U54" s="162"/>
      <c r="V54" s="162"/>
      <c r="W54" s="162"/>
      <c r="X54" s="162"/>
      <c r="Y54" s="162"/>
      <c r="Z54" s="162"/>
      <c r="AA54" s="162"/>
      <c r="AB54" s="162"/>
      <c r="AC54" s="162"/>
      <c r="AD54" s="162"/>
    </row>
    <row r="55" spans="1:30" ht="18.75">
      <c r="A55" s="487"/>
      <c r="B55" s="769" t="s">
        <v>844</v>
      </c>
      <c r="C55" s="770"/>
      <c r="D55" s="771"/>
      <c r="E55" s="771"/>
      <c r="F55" s="772"/>
      <c r="G55" s="519">
        <f>IF(G49-G52&lt;0,0,G49-G52)</f>
        <v>8929.6004190733638</v>
      </c>
      <c r="H55" s="487" t="s">
        <v>687</v>
      </c>
      <c r="I55" s="487"/>
      <c r="J55" s="4"/>
      <c r="K55" s="162"/>
      <c r="L55" s="162"/>
      <c r="M55" s="162"/>
      <c r="N55" s="162"/>
      <c r="O55" s="162"/>
      <c r="P55" s="162"/>
      <c r="Q55" s="162"/>
      <c r="R55" s="162"/>
      <c r="S55" s="162"/>
      <c r="T55" s="162"/>
      <c r="U55" s="162"/>
      <c r="V55" s="162"/>
      <c r="W55" s="162"/>
      <c r="X55" s="162"/>
      <c r="Y55" s="162"/>
      <c r="Z55" s="162"/>
      <c r="AA55" s="162"/>
      <c r="AB55" s="162"/>
      <c r="AC55" s="162"/>
      <c r="AD55" s="162"/>
    </row>
    <row r="56" spans="1:30" ht="15">
      <c r="A56" s="487"/>
      <c r="B56" s="514"/>
      <c r="C56" s="487"/>
      <c r="D56" s="487"/>
      <c r="E56" s="487"/>
      <c r="F56" s="487"/>
      <c r="G56" s="487"/>
      <c r="H56" s="487"/>
      <c r="I56" s="487"/>
      <c r="J56" s="4"/>
      <c r="K56" s="162"/>
      <c r="L56" s="162"/>
      <c r="M56" s="162"/>
      <c r="N56" s="162"/>
      <c r="O56" s="162"/>
      <c r="P56" s="162"/>
      <c r="Q56" s="162"/>
      <c r="R56" s="162"/>
      <c r="S56" s="162"/>
      <c r="T56" s="162"/>
      <c r="U56" s="162"/>
      <c r="V56" s="162"/>
      <c r="W56" s="162"/>
      <c r="X56" s="162"/>
      <c r="Y56" s="162"/>
      <c r="Z56" s="162"/>
      <c r="AA56" s="162"/>
      <c r="AB56" s="162"/>
      <c r="AC56" s="162"/>
      <c r="AD56" s="162"/>
    </row>
    <row r="57" spans="1:30" ht="14.25">
      <c r="A57" s="487"/>
      <c r="B57" s="515" t="s">
        <v>726</v>
      </c>
      <c r="C57" s="487"/>
      <c r="D57" s="487"/>
      <c r="E57" s="487"/>
      <c r="F57" s="520"/>
      <c r="G57" s="487"/>
      <c r="H57" s="487"/>
      <c r="I57" s="487"/>
      <c r="J57" s="4"/>
      <c r="K57" s="162"/>
      <c r="L57" s="162"/>
      <c r="M57" s="162"/>
      <c r="N57" s="162"/>
      <c r="O57" s="162"/>
      <c r="P57" s="162"/>
      <c r="Q57" s="162"/>
      <c r="R57" s="162"/>
      <c r="S57" s="162"/>
      <c r="T57" s="162"/>
      <c r="U57" s="162"/>
      <c r="V57" s="162"/>
      <c r="W57" s="162"/>
      <c r="X57" s="162"/>
      <c r="Y57" s="162"/>
      <c r="Z57" s="162"/>
      <c r="AA57" s="162"/>
      <c r="AB57" s="162"/>
      <c r="AC57" s="162"/>
      <c r="AD57" s="162"/>
    </row>
    <row r="58" spans="1:30" ht="21" customHeight="1">
      <c r="A58" s="487"/>
      <c r="B58" s="516" t="s">
        <v>9</v>
      </c>
      <c r="C58" s="517"/>
      <c r="D58" s="517"/>
      <c r="E58" s="517"/>
      <c r="F58" s="518"/>
      <c r="G58" s="521">
        <f>'Business Travel'!D267</f>
        <v>39.627155679999994</v>
      </c>
      <c r="H58" s="487" t="s">
        <v>687</v>
      </c>
      <c r="I58" s="487"/>
      <c r="J58" s="4"/>
      <c r="K58" s="162"/>
      <c r="L58" s="162"/>
      <c r="M58" s="162"/>
      <c r="N58" s="162"/>
      <c r="O58" s="162"/>
      <c r="P58" s="162"/>
      <c r="Q58" s="162"/>
      <c r="R58" s="162"/>
      <c r="S58" s="162"/>
      <c r="T58" s="162"/>
      <c r="U58" s="162"/>
      <c r="V58" s="162"/>
      <c r="W58" s="162"/>
      <c r="X58" s="162"/>
      <c r="Y58" s="162"/>
      <c r="Z58" s="162"/>
      <c r="AA58" s="162"/>
      <c r="AB58" s="162"/>
      <c r="AC58" s="162"/>
      <c r="AD58" s="162"/>
    </row>
    <row r="59" spans="1:30" ht="21" customHeight="1">
      <c r="A59" s="487"/>
      <c r="B59" s="516" t="s">
        <v>142</v>
      </c>
      <c r="C59" s="517"/>
      <c r="D59" s="517"/>
      <c r="E59" s="517"/>
      <c r="F59" s="518"/>
      <c r="G59" s="521">
        <f>Commuting!D123</f>
        <v>0</v>
      </c>
      <c r="H59" s="487" t="s">
        <v>687</v>
      </c>
      <c r="I59" s="487"/>
      <c r="J59" s="4"/>
      <c r="K59" s="162"/>
      <c r="L59" s="162"/>
      <c r="M59" s="162"/>
      <c r="N59" s="162"/>
      <c r="O59" s="162"/>
      <c r="P59" s="162"/>
      <c r="Q59" s="162"/>
      <c r="R59" s="162"/>
      <c r="S59" s="162"/>
      <c r="T59" s="162"/>
      <c r="U59" s="162"/>
      <c r="V59" s="162"/>
      <c r="W59" s="162"/>
      <c r="X59" s="162"/>
      <c r="Y59" s="162"/>
      <c r="Z59" s="162"/>
      <c r="AA59" s="162"/>
      <c r="AB59" s="162"/>
      <c r="AC59" s="162"/>
      <c r="AD59" s="162"/>
    </row>
    <row r="60" spans="1:30" ht="21" customHeight="1">
      <c r="A60" s="487"/>
      <c r="B60" s="516" t="s">
        <v>1282</v>
      </c>
      <c r="C60" s="517"/>
      <c r="D60" s="517"/>
      <c r="E60" s="517"/>
      <c r="F60" s="518"/>
      <c r="G60" s="521">
        <f>'Upstream Trans and Dist'!D111</f>
        <v>0</v>
      </c>
      <c r="H60" s="487" t="s">
        <v>687</v>
      </c>
      <c r="I60" s="487"/>
      <c r="J60" s="4"/>
      <c r="K60" s="162"/>
      <c r="L60" s="162"/>
      <c r="M60" s="162"/>
      <c r="N60" s="162"/>
      <c r="O60" s="162"/>
      <c r="P60" s="162"/>
      <c r="Q60" s="162"/>
      <c r="R60" s="162"/>
      <c r="S60" s="162"/>
      <c r="T60" s="162"/>
      <c r="U60" s="162"/>
      <c r="V60" s="162"/>
      <c r="W60" s="162"/>
      <c r="X60" s="162"/>
      <c r="Y60" s="162"/>
      <c r="Z60" s="162"/>
      <c r="AA60" s="162"/>
      <c r="AB60" s="162"/>
      <c r="AC60" s="162"/>
      <c r="AD60" s="162"/>
    </row>
    <row r="61" spans="1:30" ht="21" customHeight="1">
      <c r="B61" s="516" t="s">
        <v>1164</v>
      </c>
      <c r="C61" s="517"/>
      <c r="D61" s="517"/>
      <c r="E61" s="517"/>
      <c r="F61" s="518"/>
      <c r="G61" s="521">
        <f>Waste!D99</f>
        <v>0</v>
      </c>
      <c r="H61" s="487" t="s">
        <v>687</v>
      </c>
      <c r="I61" s="487"/>
      <c r="J61" s="4"/>
      <c r="K61" s="162"/>
      <c r="L61" s="162"/>
      <c r="M61" s="162"/>
      <c r="N61" s="162"/>
      <c r="O61" s="162"/>
      <c r="P61" s="162"/>
      <c r="Q61" s="162"/>
      <c r="R61" s="162"/>
      <c r="S61" s="162"/>
      <c r="T61" s="162"/>
      <c r="U61" s="162"/>
      <c r="V61" s="162"/>
      <c r="W61" s="162"/>
      <c r="X61" s="162"/>
      <c r="Y61" s="162"/>
      <c r="Z61" s="162"/>
      <c r="AA61" s="162"/>
      <c r="AB61" s="162"/>
      <c r="AC61" s="162"/>
      <c r="AD61" s="162"/>
    </row>
    <row r="62" spans="1:30" ht="14.25">
      <c r="A62" s="487"/>
      <c r="B62" s="487"/>
      <c r="C62" s="487"/>
      <c r="D62" s="487"/>
      <c r="E62" s="487"/>
      <c r="F62" s="520"/>
      <c r="G62" s="487"/>
      <c r="H62" s="487"/>
      <c r="I62" s="487"/>
      <c r="J62" s="4"/>
      <c r="K62" s="162"/>
      <c r="L62" s="162"/>
      <c r="M62" s="162"/>
      <c r="N62" s="162"/>
      <c r="O62" s="162"/>
      <c r="P62" s="162"/>
      <c r="Q62" s="162"/>
      <c r="R62" s="162"/>
      <c r="S62" s="162"/>
      <c r="T62" s="162"/>
      <c r="U62" s="162"/>
      <c r="V62" s="162"/>
      <c r="W62" s="162"/>
      <c r="X62" s="162"/>
      <c r="Y62" s="162"/>
      <c r="Z62" s="162"/>
      <c r="AA62" s="162"/>
      <c r="AB62" s="162"/>
      <c r="AC62" s="162"/>
      <c r="AD62" s="162"/>
    </row>
    <row r="63" spans="1:30" ht="14.25">
      <c r="A63" s="487"/>
      <c r="B63" s="515" t="s">
        <v>215</v>
      </c>
      <c r="C63" s="487"/>
      <c r="D63" s="487"/>
      <c r="E63" s="487"/>
      <c r="F63" s="487"/>
      <c r="G63" s="487"/>
      <c r="H63" s="487"/>
      <c r="I63" s="487"/>
      <c r="J63" s="4"/>
      <c r="K63" s="162"/>
      <c r="L63" s="162"/>
      <c r="M63" s="162"/>
      <c r="N63" s="162"/>
      <c r="O63" s="162"/>
      <c r="P63" s="162"/>
      <c r="Q63" s="162"/>
      <c r="R63" s="162"/>
      <c r="S63" s="162"/>
      <c r="T63" s="162"/>
      <c r="U63" s="162"/>
      <c r="V63" s="162"/>
      <c r="W63" s="162"/>
      <c r="X63" s="162"/>
      <c r="Y63" s="162"/>
      <c r="Z63" s="162"/>
      <c r="AA63" s="162"/>
      <c r="AB63" s="162"/>
      <c r="AC63" s="162"/>
      <c r="AD63" s="162"/>
    </row>
    <row r="64" spans="1:30" ht="21" customHeight="1">
      <c r="A64" s="487"/>
      <c r="B64" s="516" t="s">
        <v>688</v>
      </c>
      <c r="C64" s="517"/>
      <c r="D64" s="517"/>
      <c r="E64" s="517"/>
      <c r="F64" s="518"/>
      <c r="G64" s="519">
        <f>'Stationary Combustion'!E142</f>
        <v>0</v>
      </c>
      <c r="H64" s="487" t="s">
        <v>687</v>
      </c>
      <c r="I64" s="487"/>
      <c r="J64" s="4"/>
      <c r="K64" s="162"/>
      <c r="L64" s="162"/>
      <c r="M64" s="162"/>
      <c r="N64" s="162"/>
      <c r="O64" s="162"/>
      <c r="P64" s="162"/>
      <c r="Q64" s="162"/>
      <c r="R64" s="162"/>
      <c r="S64" s="162"/>
      <c r="T64" s="162"/>
      <c r="U64" s="162"/>
      <c r="V64" s="162"/>
      <c r="W64" s="162"/>
      <c r="X64" s="162"/>
      <c r="Y64" s="162"/>
      <c r="Z64" s="162"/>
      <c r="AA64" s="162"/>
      <c r="AB64" s="162"/>
      <c r="AC64" s="162"/>
      <c r="AD64" s="162"/>
    </row>
    <row r="65" spans="1:30" ht="21" customHeight="1">
      <c r="A65" s="487"/>
      <c r="B65" s="516" t="s">
        <v>689</v>
      </c>
      <c r="C65" s="517"/>
      <c r="D65" s="517"/>
      <c r="E65" s="517"/>
      <c r="F65" s="518"/>
      <c r="G65" s="519">
        <f>'Mobile Sources'!E315</f>
        <v>0.39689999999999998</v>
      </c>
      <c r="H65" s="487" t="s">
        <v>687</v>
      </c>
      <c r="I65" s="487"/>
      <c r="J65" s="4"/>
      <c r="K65" s="162"/>
      <c r="L65" s="162"/>
      <c r="M65" s="162"/>
      <c r="N65" s="162"/>
      <c r="O65" s="162"/>
      <c r="P65" s="162"/>
      <c r="Q65" s="162"/>
      <c r="R65" s="162"/>
      <c r="S65" s="162"/>
      <c r="T65" s="162"/>
      <c r="U65" s="162"/>
      <c r="V65" s="162"/>
      <c r="W65" s="162"/>
      <c r="X65" s="162"/>
      <c r="Y65" s="162"/>
      <c r="Z65" s="162"/>
      <c r="AA65" s="162"/>
      <c r="AB65" s="162"/>
      <c r="AC65" s="162"/>
      <c r="AD65" s="162"/>
    </row>
    <row r="66" spans="1:30">
      <c r="A66" s="4"/>
      <c r="B66" s="4"/>
      <c r="C66" s="4"/>
      <c r="D66" s="4"/>
      <c r="E66" s="4"/>
      <c r="F66" s="4"/>
      <c r="G66" s="4"/>
      <c r="H66" s="4"/>
      <c r="I66" s="4"/>
      <c r="J66" s="4"/>
      <c r="K66" s="162"/>
      <c r="L66" s="162"/>
      <c r="M66" s="162"/>
      <c r="N66" s="162"/>
      <c r="O66" s="162"/>
      <c r="P66" s="162"/>
      <c r="Q66" s="162"/>
      <c r="R66" s="162"/>
      <c r="S66" s="162"/>
      <c r="T66" s="162"/>
      <c r="U66" s="162"/>
      <c r="V66" s="162"/>
      <c r="W66" s="162"/>
      <c r="X66" s="162"/>
      <c r="Y66" s="162"/>
      <c r="Z66" s="162"/>
      <c r="AA66" s="162"/>
      <c r="AB66" s="162"/>
      <c r="AC66" s="162"/>
      <c r="AD66" s="162"/>
    </row>
    <row r="67" spans="1:30">
      <c r="A67" s="4"/>
      <c r="B67" s="4"/>
      <c r="C67" s="4"/>
      <c r="D67" s="4"/>
      <c r="E67" s="4"/>
      <c r="F67" s="4"/>
      <c r="G67" s="4"/>
      <c r="H67" s="4"/>
      <c r="I67" s="4"/>
      <c r="J67" s="4"/>
      <c r="K67" s="162"/>
      <c r="L67" s="162"/>
      <c r="M67" s="162"/>
      <c r="N67" s="162"/>
      <c r="O67" s="162"/>
      <c r="P67" s="162"/>
      <c r="Q67" s="162"/>
      <c r="R67" s="162"/>
      <c r="S67" s="162"/>
      <c r="T67" s="162"/>
      <c r="U67" s="162"/>
      <c r="V67" s="162"/>
      <c r="W67" s="162"/>
      <c r="X67" s="162"/>
      <c r="Y67" s="162"/>
      <c r="Z67" s="162"/>
      <c r="AA67" s="162"/>
      <c r="AB67" s="162"/>
      <c r="AC67" s="162"/>
      <c r="AD67" s="162"/>
    </row>
    <row r="68" spans="1:30">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row>
    <row r="69" spans="1:30">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row>
    <row r="70" spans="1:30">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row>
    <row r="71" spans="1:30">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row>
    <row r="72" spans="1:30">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row>
    <row r="73" spans="1:30">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row>
    <row r="74" spans="1:30">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row>
    <row r="75" spans="1:30">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row>
    <row r="76" spans="1:30">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row>
    <row r="77" spans="1:30">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row>
    <row r="78" spans="1:30">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row>
    <row r="79" spans="1:30">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row>
    <row r="80" spans="1:30">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row>
    <row r="81" spans="1:30">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row>
    <row r="82" spans="1:30">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row>
    <row r="83" spans="1:30">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row>
    <row r="84" spans="1:30">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row>
    <row r="85" spans="1:30">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row>
    <row r="86" spans="1:30">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row>
    <row r="87" spans="1:30">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row>
    <row r="88" spans="1:30">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row>
    <row r="89" spans="1:30">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row>
    <row r="90" spans="1:30">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row>
    <row r="91" spans="1:30">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row>
    <row r="92" spans="1:30">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row>
    <row r="93" spans="1:30">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row>
    <row r="94" spans="1:30">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row>
    <row r="95" spans="1:30">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row>
    <row r="96" spans="1:30">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row>
    <row r="97" spans="1:30">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row>
    <row r="98" spans="1:30">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row>
    <row r="99" spans="1:30">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row>
    <row r="100" spans="1:30">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row>
    <row r="101" spans="1:30">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row>
    <row r="102" spans="1:30">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row>
    <row r="103" spans="1:30">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row>
    <row r="104" spans="1:30">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row>
    <row r="105" spans="1:30">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row>
    <row r="106" spans="1:30">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row>
    <row r="107" spans="1:30">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row>
    <row r="108" spans="1:30">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row>
    <row r="109" spans="1:30">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row>
    <row r="110" spans="1:30">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row>
    <row r="111" spans="1:30">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row>
    <row r="112" spans="1:30">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row>
    <row r="113" spans="1:30">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row>
    <row r="114" spans="1:30">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row>
    <row r="115" spans="1:30">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row>
    <row r="116" spans="1:30">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row>
    <row r="117" spans="1:30">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row>
    <row r="118" spans="1:30">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row>
    <row r="119" spans="1:30">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row>
    <row r="120" spans="1:30">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row>
    <row r="121" spans="1:30">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row>
    <row r="122" spans="1:30">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row>
    <row r="123" spans="1:30">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row>
    <row r="124" spans="1:30">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row>
    <row r="125" spans="1:30">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row>
    <row r="126" spans="1:30">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row>
    <row r="127" spans="1:30">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row>
    <row r="128" spans="1:30">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row>
    <row r="129" spans="1:30">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row>
    <row r="130" spans="1:30">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row>
    <row r="131" spans="1:30">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row>
    <row r="132" spans="1:30">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row>
    <row r="133" spans="1:30">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row>
    <row r="134" spans="1:30">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row>
    <row r="135" spans="1:30">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row>
    <row r="136" spans="1:30">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row>
    <row r="137" spans="1:30">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row>
    <row r="138" spans="1:30">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row>
    <row r="139" spans="1:30">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row>
    <row r="140" spans="1:30">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row>
    <row r="141" spans="1:30">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row>
    <row r="142" spans="1:30">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row>
    <row r="143" spans="1:30">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row>
    <row r="144" spans="1:30">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row>
    <row r="145" spans="1:30">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row>
    <row r="146" spans="1:30">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row>
    <row r="147" spans="1:30">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row>
    <row r="148" spans="1:30">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row>
    <row r="149" spans="1:30">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row>
    <row r="150" spans="1:30">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row>
    <row r="151" spans="1:30">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row>
    <row r="152" spans="1:30">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row>
    <row r="153" spans="1:30">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row>
    <row r="154" spans="1:30">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row>
    <row r="155" spans="1:30">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row>
    <row r="156" spans="1:30">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row>
    <row r="157" spans="1:30">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row>
    <row r="158" spans="1:30">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row>
    <row r="159" spans="1:30">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row>
    <row r="160" spans="1:30">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row>
    <row r="161" spans="1:30">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row>
    <row r="162" spans="1:30">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row>
    <row r="163" spans="1:30">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row>
    <row r="164" spans="1:30">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row>
    <row r="165" spans="1:30">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row>
    <row r="166" spans="1:30">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row>
    <row r="167" spans="1:30">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row>
    <row r="168" spans="1:30">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row>
    <row r="169" spans="1:30">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row>
    <row r="170" spans="1:30">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row>
    <row r="171" spans="1:30">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row>
    <row r="172" spans="1:30">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row>
    <row r="173" spans="1:30">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row>
    <row r="174" spans="1:30">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row>
    <row r="175" spans="1:30">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row>
    <row r="176" spans="1:30">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row>
    <row r="177" spans="1:30">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row>
    <row r="178" spans="1:30">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row>
    <row r="179" spans="1:30">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row>
    <row r="180" spans="1:30">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row>
    <row r="181" spans="1:30">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row>
    <row r="182" spans="1:30">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row>
    <row r="183" spans="1:30">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row>
    <row r="184" spans="1:30">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row>
    <row r="185" spans="1:30">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row>
    <row r="186" spans="1:30">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row>
    <row r="187" spans="1:30">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row>
    <row r="188" spans="1:30">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row>
    <row r="189" spans="1:30">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row>
    <row r="190" spans="1:30">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row>
    <row r="191" spans="1:30">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row>
    <row r="192" spans="1:30">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row>
    <row r="193" spans="1:30">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row>
    <row r="194" spans="1:30">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row>
    <row r="195" spans="1:30">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row>
    <row r="196" spans="1:30">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row>
    <row r="197" spans="1:30">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row>
    <row r="198" spans="1:30">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row>
    <row r="199" spans="1:30">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row>
    <row r="200" spans="1:30">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row>
    <row r="201" spans="1:30">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row>
    <row r="202" spans="1:30">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row>
    <row r="203" spans="1:30">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row>
    <row r="204" spans="1:30">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row>
    <row r="205" spans="1:30">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row>
    <row r="206" spans="1:30">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row>
    <row r="207" spans="1:30">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row>
  </sheetData>
  <sheetProtection sheet="1" objects="1" scenarios="1"/>
  <mergeCells count="14">
    <mergeCell ref="A6:I6"/>
    <mergeCell ref="A14:I14"/>
    <mergeCell ref="E28:I28"/>
    <mergeCell ref="E19:I19"/>
    <mergeCell ref="E21:I21"/>
    <mergeCell ref="E18:I18"/>
    <mergeCell ref="E20:I20"/>
    <mergeCell ref="E23:I23"/>
    <mergeCell ref="E26:I26"/>
    <mergeCell ref="E27:I27"/>
    <mergeCell ref="H24:I24"/>
    <mergeCell ref="A8:I9"/>
    <mergeCell ref="A10:I12"/>
    <mergeCell ref="A7:I7"/>
  </mergeCells>
  <phoneticPr fontId="11" type="noConversion"/>
  <hyperlinks>
    <hyperlink ref="A7" r:id="rId1" xr:uid="{D60A56C8-8A84-49C8-AFF4-E478C9F7B8C8}"/>
  </hyperlinks>
  <pageMargins left="0.25" right="0.25" top="0.25" bottom="0.5" header="0.5" footer="0.25"/>
  <pageSetup scale="87" orientation="portrait" r:id="rId2"/>
  <headerFooter alignWithMargins="0">
    <oddFooter>&amp;L&amp;"Arial,Italic"&amp;9EPA Climate Leaders Simplified GHG Emissions Calculator (Summary)&amp;R&amp;"Arial,Italic"&amp;9&amp;P of &amp;N</oddFooter>
  </headerFooter>
  <rowBreaks count="1" manualBreakCount="1">
    <brk id="50" max="16383" man="1"/>
  </rowBreaks>
  <colBreaks count="1" manualBreakCount="1">
    <brk id="9"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dimension ref="A1:AD200"/>
  <sheetViews>
    <sheetView zoomScale="80" zoomScaleNormal="80" workbookViewId="0"/>
  </sheetViews>
  <sheetFormatPr defaultColWidth="9.140625" defaultRowHeight="12.75"/>
  <cols>
    <col min="1" max="1" width="9.85546875" style="275" customWidth="1"/>
    <col min="2" max="2" width="33.85546875" style="275" customWidth="1"/>
    <col min="3" max="3" width="28.85546875" style="275" customWidth="1"/>
    <col min="4" max="5" width="15.85546875" style="275" customWidth="1"/>
    <col min="6" max="7" width="6.140625" style="275" customWidth="1"/>
    <col min="8" max="16384" width="9.140625" style="275"/>
  </cols>
  <sheetData>
    <row r="1" spans="1:30" ht="24.95" customHeight="1">
      <c r="A1" s="276"/>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row>
    <row r="2" spans="1:30" ht="24.95" customHeight="1">
      <c r="A2" s="276"/>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row>
    <row r="3" spans="1:30" ht="15">
      <c r="A3" s="292" t="s">
        <v>822</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row>
    <row r="4" spans="1:30">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row>
    <row r="5" spans="1:30">
      <c r="A5" s="316" t="s">
        <v>420</v>
      </c>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row>
    <row r="6" spans="1:30" ht="42.75" customHeight="1">
      <c r="A6" s="1395" t="s">
        <v>717</v>
      </c>
      <c r="B6" s="1395"/>
      <c r="C6" s="1395"/>
      <c r="D6" s="1395"/>
      <c r="E6" s="1395"/>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row>
    <row r="7" spans="1:30">
      <c r="A7" s="281"/>
      <c r="B7" s="281"/>
      <c r="C7" s="281"/>
      <c r="D7" s="281"/>
      <c r="E7" s="281"/>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row>
    <row r="8" spans="1:30">
      <c r="A8" s="317" t="s">
        <v>422</v>
      </c>
      <c r="B8" s="281"/>
      <c r="C8" s="281"/>
      <c r="D8" s="281"/>
      <c r="E8" s="281"/>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row>
    <row r="9" spans="1:30" ht="67.5" customHeight="1">
      <c r="A9" s="1395" t="s">
        <v>541</v>
      </c>
      <c r="B9" s="1395"/>
      <c r="C9" s="1395"/>
      <c r="D9" s="1395"/>
      <c r="E9" s="1395"/>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row>
    <row r="10" spans="1:30" ht="17.25" customHeight="1">
      <c r="A10" s="318" t="s">
        <v>437</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row>
    <row r="11" spans="1:30">
      <c r="A11" s="284" t="s">
        <v>426</v>
      </c>
      <c r="B11" s="1388" t="s">
        <v>605</v>
      </c>
      <c r="C11" s="1388"/>
      <c r="D11" s="1388"/>
      <c r="E11" s="1388"/>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row>
    <row r="12" spans="1:30">
      <c r="A12" s="284" t="s">
        <v>426</v>
      </c>
      <c r="B12" s="1388" t="s">
        <v>439</v>
      </c>
      <c r="C12" s="1388"/>
      <c r="D12" s="1388"/>
      <c r="E12" s="1388"/>
      <c r="F12" s="276"/>
      <c r="G12" s="276"/>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row>
    <row r="13" spans="1:30" ht="16.5" customHeight="1">
      <c r="A13" s="284" t="s">
        <v>426</v>
      </c>
      <c r="B13" s="1388" t="s">
        <v>438</v>
      </c>
      <c r="C13" s="1388"/>
      <c r="D13" s="1388"/>
      <c r="E13" s="1388"/>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row>
    <row r="14" spans="1:30">
      <c r="A14" s="284"/>
      <c r="B14" s="287"/>
      <c r="C14" s="287"/>
      <c r="D14" s="287"/>
      <c r="E14" s="287"/>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row>
    <row r="15" spans="1:30">
      <c r="A15" s="319" t="s">
        <v>423</v>
      </c>
      <c r="B15" s="281"/>
      <c r="C15" s="281"/>
      <c r="D15" s="281"/>
      <c r="E15" s="281"/>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row>
    <row r="16" spans="1:30" ht="40.5" customHeight="1">
      <c r="A16" s="1395" t="s">
        <v>718</v>
      </c>
      <c r="B16" s="1395"/>
      <c r="C16" s="1395"/>
      <c r="D16" s="1395"/>
      <c r="E16" s="1395"/>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row>
    <row r="17" spans="1:30">
      <c r="A17" s="281"/>
      <c r="B17" s="281"/>
      <c r="C17" s="281"/>
      <c r="D17" s="281"/>
      <c r="E17" s="281"/>
      <c r="F17" s="276"/>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row>
    <row r="18" spans="1:30">
      <c r="A18" s="319" t="s">
        <v>429</v>
      </c>
      <c r="B18" s="276"/>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row>
    <row r="19" spans="1:30" ht="30.75" customHeight="1">
      <c r="A19" s="284" t="s">
        <v>426</v>
      </c>
      <c r="B19" s="1388" t="s">
        <v>604</v>
      </c>
      <c r="C19" s="1388"/>
      <c r="D19" s="1388"/>
      <c r="E19" s="1388"/>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row>
    <row r="20" spans="1:30" ht="45.75" customHeight="1">
      <c r="A20" s="284" t="s">
        <v>426</v>
      </c>
      <c r="B20" s="1388" t="s">
        <v>1008</v>
      </c>
      <c r="C20" s="1388"/>
      <c r="D20" s="1388"/>
      <c r="E20" s="1388"/>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row>
    <row r="21" spans="1:30" ht="42" customHeight="1">
      <c r="A21" s="284" t="s">
        <v>426</v>
      </c>
      <c r="B21" s="1388" t="s">
        <v>719</v>
      </c>
      <c r="C21" s="1388"/>
      <c r="D21" s="1388"/>
      <c r="E21" s="1388"/>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row>
    <row r="22" spans="1:30">
      <c r="A22" s="276"/>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row>
    <row r="23" spans="1:30">
      <c r="A23" s="276"/>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row>
    <row r="24" spans="1:30">
      <c r="A24" s="276"/>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row>
    <row r="25" spans="1:30">
      <c r="A25" s="276"/>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row>
    <row r="26" spans="1:30">
      <c r="A26" s="276"/>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row>
    <row r="27" spans="1:30">
      <c r="A27" s="276"/>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30">
      <c r="A28" s="276"/>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row>
    <row r="29" spans="1:30">
      <c r="A29" s="276"/>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row>
    <row r="30" spans="1:30">
      <c r="A30" s="276"/>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row>
    <row r="31" spans="1:30">
      <c r="A31" s="276"/>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row>
    <row r="32" spans="1:30">
      <c r="A32" s="276"/>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row>
    <row r="33" spans="1:30">
      <c r="A33" s="276"/>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row>
    <row r="34" spans="1:30">
      <c r="A34" s="276"/>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row>
    <row r="35" spans="1:30">
      <c r="A35" s="276"/>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row>
    <row r="36" spans="1:30">
      <c r="A36" s="276"/>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row>
    <row r="37" spans="1:30">
      <c r="A37" s="276"/>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row>
    <row r="38" spans="1:30">
      <c r="A38" s="276"/>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row>
    <row r="39" spans="1:30">
      <c r="A39" s="276"/>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row>
    <row r="40" spans="1:30">
      <c r="A40" s="276"/>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row>
    <row r="41" spans="1:30">
      <c r="A41" s="276"/>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row>
    <row r="42" spans="1:30">
      <c r="A42" s="276"/>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row>
    <row r="43" spans="1:30">
      <c r="A43" s="276"/>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row>
    <row r="44" spans="1:30">
      <c r="A44" s="276"/>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row>
    <row r="45" spans="1:30">
      <c r="A45" s="276"/>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row>
    <row r="46" spans="1:30">
      <c r="A46" s="276"/>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row>
    <row r="47" spans="1:30">
      <c r="A47" s="276"/>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row>
    <row r="48" spans="1:30">
      <c r="A48" s="276"/>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row>
    <row r="49" spans="1:30">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row>
    <row r="50" spans="1:30">
      <c r="A50" s="276"/>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row>
    <row r="51" spans="1:30">
      <c r="A51" s="276"/>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row>
    <row r="52" spans="1:30">
      <c r="A52" s="276"/>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row>
    <row r="53" spans="1:30">
      <c r="A53" s="276"/>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row>
    <row r="54" spans="1:30">
      <c r="A54" s="276"/>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row>
    <row r="55" spans="1:30">
      <c r="A55" s="276"/>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row>
    <row r="56" spans="1:30">
      <c r="A56" s="276"/>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row>
    <row r="57" spans="1:30">
      <c r="A57" s="276"/>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row>
    <row r="58" spans="1:30">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row>
    <row r="59" spans="1:30">
      <c r="A59" s="276"/>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row>
    <row r="60" spans="1:30">
      <c r="A60" s="276"/>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row>
    <row r="61" spans="1:30">
      <c r="A61" s="276"/>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row>
    <row r="62" spans="1:30">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row>
    <row r="63" spans="1:30">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row>
    <row r="64" spans="1:30">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row>
    <row r="65" spans="1:30">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row>
    <row r="66" spans="1:30">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row>
    <row r="67" spans="1:30">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row>
    <row r="68" spans="1:30">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row>
    <row r="69" spans="1:30">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row>
    <row r="70" spans="1:30">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row>
    <row r="71" spans="1:30">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row>
    <row r="72" spans="1:30">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row>
    <row r="73" spans="1:30">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row>
    <row r="74" spans="1:30">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row>
    <row r="75" spans="1:30">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row>
    <row r="76" spans="1:30">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row>
    <row r="77" spans="1:30">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row>
    <row r="78" spans="1:30">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row>
    <row r="79" spans="1:30">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row>
    <row r="80" spans="1:30">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row>
    <row r="81" spans="1:30">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row>
    <row r="82" spans="1:30">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row>
    <row r="83" spans="1:30">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row>
    <row r="84" spans="1:30">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row>
    <row r="85" spans="1:30">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row>
    <row r="86" spans="1:30">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row>
    <row r="87" spans="1:30">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row>
    <row r="88" spans="1:30">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row>
    <row r="89" spans="1:30">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row>
    <row r="90" spans="1:30">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row>
    <row r="91" spans="1:30">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row>
    <row r="92" spans="1:30">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row>
    <row r="93" spans="1:30">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row>
    <row r="94" spans="1:30">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row>
    <row r="95" spans="1:30">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row>
    <row r="96" spans="1:30">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row>
    <row r="97" spans="1:30">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row>
    <row r="98" spans="1:30">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row>
    <row r="99" spans="1:30">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row>
    <row r="100" spans="1:30">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row>
    <row r="101" spans="1:30">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row>
    <row r="102" spans="1:30">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row>
    <row r="103" spans="1:30">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row>
    <row r="104" spans="1:30">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row>
    <row r="105" spans="1:30">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row>
    <row r="106" spans="1:30">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row>
    <row r="107" spans="1:30">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row>
    <row r="108" spans="1:30">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row>
    <row r="109" spans="1:30">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row>
    <row r="110" spans="1:30">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row>
    <row r="111" spans="1:30">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row>
    <row r="112" spans="1:30">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row>
    <row r="113" spans="1:30">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row>
    <row r="114" spans="1:30">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row>
    <row r="115" spans="1:30">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row>
    <row r="116" spans="1:30">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row>
    <row r="117" spans="1:30">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row>
    <row r="118" spans="1:30">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row>
    <row r="119" spans="1:30">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row>
    <row r="120" spans="1:30">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row>
    <row r="121" spans="1:30">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row>
    <row r="122" spans="1:30">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row>
    <row r="123" spans="1:30">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row>
    <row r="124" spans="1:30">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row>
    <row r="125" spans="1:30">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row>
    <row r="126" spans="1:30">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row>
    <row r="127" spans="1:30">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row>
    <row r="128" spans="1:30">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row>
    <row r="129" spans="1:30">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row>
    <row r="130" spans="1:30">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row>
    <row r="131" spans="1:30">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row>
    <row r="132" spans="1:30">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row>
    <row r="133" spans="1:30">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row>
    <row r="134" spans="1:30">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row>
    <row r="135" spans="1:30">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row>
    <row r="136" spans="1:30">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row>
    <row r="137" spans="1:30">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row>
    <row r="138" spans="1:30">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row>
    <row r="139" spans="1:30">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row>
    <row r="140" spans="1:30">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row>
    <row r="141" spans="1:30">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row>
    <row r="142" spans="1:30">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row>
    <row r="143" spans="1:30">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row>
    <row r="144" spans="1:30">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row>
    <row r="145" spans="1:30">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row>
    <row r="146" spans="1:30">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row>
    <row r="147" spans="1:30">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row>
    <row r="148" spans="1:30">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row>
    <row r="149" spans="1:30">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row>
    <row r="150" spans="1:30">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row>
    <row r="151" spans="1:30">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row>
    <row r="152" spans="1:30">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row>
    <row r="153" spans="1:30">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row>
    <row r="154" spans="1:30">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row>
    <row r="155" spans="1:30">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row>
    <row r="156" spans="1:30">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row>
    <row r="157" spans="1:30">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row>
    <row r="158" spans="1:30">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row>
    <row r="159" spans="1:30">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row>
    <row r="160" spans="1:30">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row>
    <row r="161" spans="1:30">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row>
    <row r="162" spans="1:30">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row>
    <row r="163" spans="1:30">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row>
    <row r="164" spans="1:30">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row>
    <row r="165" spans="1:30">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row>
    <row r="166" spans="1:30">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row>
    <row r="167" spans="1:30">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row>
    <row r="168" spans="1:30">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row>
    <row r="169" spans="1:30">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76"/>
    </row>
    <row r="170" spans="1:30">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76"/>
    </row>
    <row r="171" spans="1:30">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row>
    <row r="172" spans="1:30">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row>
    <row r="173" spans="1:30">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row>
    <row r="174" spans="1:30">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76"/>
    </row>
    <row r="175" spans="1:30">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row>
    <row r="176" spans="1:30">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row>
    <row r="177" spans="1:30">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row>
    <row r="178" spans="1:30">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row>
    <row r="179" spans="1:30">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row>
    <row r="180" spans="1:30">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row>
    <row r="181" spans="1:30">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row>
    <row r="182" spans="1:30">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row>
    <row r="183" spans="1:30">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76"/>
    </row>
    <row r="184" spans="1:30">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row>
    <row r="185" spans="1:30">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row>
    <row r="186" spans="1:30">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row>
    <row r="187" spans="1:30">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row>
    <row r="188" spans="1:30">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row>
    <row r="189" spans="1:30">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row>
    <row r="190" spans="1:30">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row>
    <row r="191" spans="1:30">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76"/>
    </row>
    <row r="192" spans="1:30">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76"/>
    </row>
    <row r="193" spans="1:30">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76"/>
    </row>
    <row r="194" spans="1:30">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76"/>
    </row>
    <row r="195" spans="1:30">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76"/>
    </row>
    <row r="196" spans="1:30">
      <c r="A196" s="276"/>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row>
    <row r="197" spans="1:30">
      <c r="A197" s="276"/>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row>
    <row r="198" spans="1:30">
      <c r="A198" s="276"/>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76"/>
    </row>
    <row r="199" spans="1:30">
      <c r="A199" s="276"/>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row>
    <row r="200" spans="1:30">
      <c r="A200" s="276"/>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76"/>
    </row>
  </sheetData>
  <sheetProtection sheet="1"/>
  <mergeCells count="9">
    <mergeCell ref="B19:E19"/>
    <mergeCell ref="B20:E20"/>
    <mergeCell ref="B21:E21"/>
    <mergeCell ref="A6:E6"/>
    <mergeCell ref="A9:E9"/>
    <mergeCell ref="A16:E16"/>
    <mergeCell ref="B11:E11"/>
    <mergeCell ref="B13:E13"/>
    <mergeCell ref="B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AD201"/>
  <sheetViews>
    <sheetView zoomScale="80" zoomScaleNormal="80" workbookViewId="0"/>
  </sheetViews>
  <sheetFormatPr defaultColWidth="9.140625" defaultRowHeight="12.75"/>
  <cols>
    <col min="1" max="1" width="9.85546875" style="275" customWidth="1"/>
    <col min="2" max="2" width="33.85546875" style="275" customWidth="1"/>
    <col min="3" max="3" width="28.85546875" style="275" customWidth="1"/>
    <col min="4" max="5" width="15.85546875" style="275" customWidth="1"/>
    <col min="6" max="7" width="6.140625" style="275" customWidth="1"/>
    <col min="8" max="16384" width="9.140625" style="275"/>
  </cols>
  <sheetData>
    <row r="1" spans="1:30" ht="24.95" customHeight="1">
      <c r="A1" s="276"/>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row>
    <row r="2" spans="1:30" ht="24.95" customHeight="1">
      <c r="A2" s="276"/>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row>
    <row r="3" spans="1:30" ht="15">
      <c r="A3" s="292" t="s">
        <v>1279</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row>
    <row r="4" spans="1:30">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row>
    <row r="5" spans="1:30">
      <c r="A5" s="316" t="s">
        <v>420</v>
      </c>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row>
    <row r="6" spans="1:30" ht="96.75" customHeight="1">
      <c r="A6" s="1398" t="s">
        <v>1288</v>
      </c>
      <c r="B6" s="1395"/>
      <c r="C6" s="1395"/>
      <c r="D6" s="1395"/>
      <c r="E6" s="1395"/>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row>
    <row r="7" spans="1:30">
      <c r="A7" s="281"/>
      <c r="B7" s="281"/>
      <c r="C7" s="281"/>
      <c r="D7" s="281"/>
      <c r="E7" s="281"/>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row>
    <row r="8" spans="1:30">
      <c r="A8" s="317" t="s">
        <v>422</v>
      </c>
      <c r="B8" s="281"/>
      <c r="C8" s="281"/>
      <c r="D8" s="281"/>
      <c r="E8" s="281"/>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row>
    <row r="9" spans="1:30" ht="68.25" customHeight="1">
      <c r="A9" s="1395" t="s">
        <v>1009</v>
      </c>
      <c r="B9" s="1395"/>
      <c r="C9" s="1395"/>
      <c r="D9" s="1395"/>
      <c r="E9" s="1395"/>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row>
    <row r="10" spans="1:30" ht="17.25" customHeight="1">
      <c r="A10" s="318" t="s">
        <v>539</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row>
    <row r="11" spans="1:30">
      <c r="A11" s="284" t="s">
        <v>426</v>
      </c>
      <c r="B11" s="1388" t="s">
        <v>543</v>
      </c>
      <c r="C11" s="1388"/>
      <c r="D11" s="1388"/>
      <c r="E11" s="1388"/>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row>
    <row r="12" spans="1:30">
      <c r="A12" s="284" t="s">
        <v>426</v>
      </c>
      <c r="B12" s="1388" t="s">
        <v>542</v>
      </c>
      <c r="C12" s="1388"/>
      <c r="D12" s="1388"/>
      <c r="E12" s="1388"/>
      <c r="F12" s="276"/>
      <c r="G12" s="276"/>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row>
    <row r="13" spans="1:30" ht="16.5" customHeight="1">
      <c r="A13" s="284" t="s">
        <v>426</v>
      </c>
      <c r="B13" s="1388" t="s">
        <v>607</v>
      </c>
      <c r="C13" s="1388"/>
      <c r="D13" s="1388"/>
      <c r="E13" s="1388"/>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row>
    <row r="14" spans="1:30">
      <c r="A14" s="281"/>
      <c r="B14" s="281"/>
      <c r="C14" s="281"/>
      <c r="D14" s="281"/>
      <c r="E14" s="281"/>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row>
    <row r="15" spans="1:30">
      <c r="A15" s="319" t="s">
        <v>423</v>
      </c>
      <c r="B15" s="281"/>
      <c r="C15" s="281"/>
      <c r="D15" s="281"/>
      <c r="E15" s="281"/>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row>
    <row r="16" spans="1:30" ht="46.5" customHeight="1">
      <c r="A16" s="1398" t="s">
        <v>1280</v>
      </c>
      <c r="B16" s="1395"/>
      <c r="C16" s="1395"/>
      <c r="D16" s="1395"/>
      <c r="E16" s="1395"/>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row>
    <row r="17" spans="1:30">
      <c r="A17" s="281"/>
      <c r="B17" s="281"/>
      <c r="C17" s="281"/>
      <c r="D17" s="281"/>
      <c r="E17" s="281"/>
      <c r="F17" s="276"/>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row>
    <row r="18" spans="1:30">
      <c r="A18" s="319" t="s">
        <v>429</v>
      </c>
      <c r="B18" s="276"/>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row>
    <row r="19" spans="1:30" ht="43.5" customHeight="1">
      <c r="A19" s="284" t="s">
        <v>426</v>
      </c>
      <c r="B19" s="1400" t="s">
        <v>1281</v>
      </c>
      <c r="C19" s="1388"/>
      <c r="D19" s="1388"/>
      <c r="E19" s="1388"/>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row>
    <row r="20" spans="1:30" ht="42.75" customHeight="1">
      <c r="A20" s="284" t="s">
        <v>426</v>
      </c>
      <c r="B20" s="1388" t="s">
        <v>609</v>
      </c>
      <c r="C20" s="1388"/>
      <c r="D20" s="1388"/>
      <c r="E20" s="1388"/>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row>
    <row r="21" spans="1:30" ht="81.75" customHeight="1">
      <c r="A21" s="284" t="s">
        <v>426</v>
      </c>
      <c r="B21" s="1388" t="s">
        <v>608</v>
      </c>
      <c r="C21" s="1388"/>
      <c r="D21" s="1388"/>
      <c r="E21" s="1388"/>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row>
    <row r="22" spans="1:30">
      <c r="A22" s="281"/>
      <c r="B22" s="281"/>
      <c r="C22" s="281"/>
      <c r="D22" s="281"/>
      <c r="E22" s="281"/>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row>
    <row r="23" spans="1:30">
      <c r="A23" s="276"/>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row>
    <row r="24" spans="1:30">
      <c r="A24" s="276"/>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row>
    <row r="25" spans="1:30">
      <c r="A25" s="276"/>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row>
    <row r="26" spans="1:30">
      <c r="A26" s="276"/>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row>
    <row r="27" spans="1:30">
      <c r="A27" s="276"/>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30">
      <c r="A28" s="276"/>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row>
    <row r="29" spans="1:30">
      <c r="A29" s="276"/>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row>
    <row r="30" spans="1:30">
      <c r="A30" s="276"/>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row>
    <row r="31" spans="1:30">
      <c r="A31" s="276"/>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row>
    <row r="32" spans="1:30">
      <c r="A32" s="276"/>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row>
    <row r="33" spans="1:30">
      <c r="A33" s="276"/>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row>
    <row r="34" spans="1:30">
      <c r="A34" s="276"/>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row>
    <row r="35" spans="1:30">
      <c r="A35" s="276"/>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row>
    <row r="36" spans="1:30">
      <c r="A36" s="276"/>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row>
    <row r="37" spans="1:30">
      <c r="A37" s="276"/>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row>
    <row r="38" spans="1:30">
      <c r="A38" s="276"/>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row>
    <row r="39" spans="1:30">
      <c r="A39" s="276"/>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row>
    <row r="40" spans="1:30">
      <c r="A40" s="276"/>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row>
    <row r="41" spans="1:30">
      <c r="A41" s="276"/>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row>
    <row r="42" spans="1:30">
      <c r="A42" s="276"/>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row>
    <row r="43" spans="1:30">
      <c r="A43" s="276"/>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row>
    <row r="44" spans="1:30">
      <c r="A44" s="276"/>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row>
    <row r="45" spans="1:30">
      <c r="A45" s="276"/>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row>
    <row r="46" spans="1:30">
      <c r="A46" s="276"/>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row>
    <row r="47" spans="1:30">
      <c r="A47" s="276"/>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row>
    <row r="48" spans="1:30">
      <c r="A48" s="276"/>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row>
    <row r="49" spans="1:30">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row>
    <row r="50" spans="1:30">
      <c r="A50" s="276"/>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row>
    <row r="51" spans="1:30">
      <c r="A51" s="276"/>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row>
    <row r="52" spans="1:30">
      <c r="A52" s="276"/>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row>
    <row r="53" spans="1:30">
      <c r="A53" s="276"/>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row>
    <row r="54" spans="1:30">
      <c r="A54" s="276"/>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row>
    <row r="55" spans="1:30">
      <c r="A55" s="276"/>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row>
    <row r="56" spans="1:30">
      <c r="A56" s="276"/>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row>
    <row r="57" spans="1:30">
      <c r="A57" s="276"/>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row>
    <row r="58" spans="1:30">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row>
    <row r="59" spans="1:30">
      <c r="A59" s="276"/>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row>
    <row r="60" spans="1:30">
      <c r="A60" s="276"/>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row>
    <row r="61" spans="1:30">
      <c r="A61" s="276"/>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row>
    <row r="62" spans="1:30">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row>
    <row r="63" spans="1:30">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row>
    <row r="64" spans="1:30">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row>
    <row r="65" spans="1:30">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row>
    <row r="66" spans="1:30">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row>
    <row r="67" spans="1:30">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row>
    <row r="68" spans="1:30">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row>
    <row r="69" spans="1:30">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row>
    <row r="70" spans="1:30">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row>
    <row r="71" spans="1:30">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row>
    <row r="72" spans="1:30">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row>
    <row r="73" spans="1:30">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row>
    <row r="74" spans="1:30">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row>
    <row r="75" spans="1:30">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row>
    <row r="76" spans="1:30">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row>
    <row r="77" spans="1:30">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row>
    <row r="78" spans="1:30">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row>
    <row r="79" spans="1:30">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row>
    <row r="80" spans="1:30">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row>
    <row r="81" spans="1:30">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row>
    <row r="82" spans="1:30">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row>
    <row r="83" spans="1:30">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row>
    <row r="84" spans="1:30">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row>
    <row r="85" spans="1:30">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row>
    <row r="86" spans="1:30">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row>
    <row r="87" spans="1:30">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row>
    <row r="88" spans="1:30">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row>
    <row r="89" spans="1:30">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row>
    <row r="90" spans="1:30">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row>
    <row r="91" spans="1:30">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row>
    <row r="92" spans="1:30">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row>
    <row r="93" spans="1:30">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row>
    <row r="94" spans="1:30">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row>
    <row r="95" spans="1:30">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row>
    <row r="96" spans="1:30">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row>
    <row r="97" spans="1:30">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row>
    <row r="98" spans="1:30">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row>
    <row r="99" spans="1:30">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row>
    <row r="100" spans="1:30">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row>
    <row r="101" spans="1:30">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row>
    <row r="102" spans="1:30">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row>
    <row r="103" spans="1:30">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row>
    <row r="104" spans="1:30">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row>
    <row r="105" spans="1:30">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row>
    <row r="106" spans="1:30">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row>
    <row r="107" spans="1:30">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row>
    <row r="108" spans="1:30">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row>
    <row r="109" spans="1:30">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row>
    <row r="110" spans="1:30">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row>
    <row r="111" spans="1:30">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row>
    <row r="112" spans="1:30">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row>
    <row r="113" spans="1:30">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row>
    <row r="114" spans="1:30">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row>
    <row r="115" spans="1:30">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row>
    <row r="116" spans="1:30">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row>
    <row r="117" spans="1:30">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row>
    <row r="118" spans="1:30">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row>
    <row r="119" spans="1:30">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row>
    <row r="120" spans="1:30">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row>
    <row r="121" spans="1:30">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row>
    <row r="122" spans="1:30">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row>
    <row r="123" spans="1:30">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row>
    <row r="124" spans="1:30">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row>
    <row r="125" spans="1:30">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row>
    <row r="126" spans="1:30">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row>
    <row r="127" spans="1:30">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row>
    <row r="128" spans="1:30">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row>
    <row r="129" spans="1:30">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row>
    <row r="130" spans="1:30">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row>
    <row r="131" spans="1:30">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row>
    <row r="132" spans="1:30">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row>
    <row r="133" spans="1:30">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row>
    <row r="134" spans="1:30">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row>
    <row r="135" spans="1:30">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row>
    <row r="136" spans="1:30">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row>
    <row r="137" spans="1:30">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row>
    <row r="138" spans="1:30">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row>
    <row r="139" spans="1:30">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row>
    <row r="140" spans="1:30">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row>
    <row r="141" spans="1:30">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row>
    <row r="142" spans="1:30">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row>
    <row r="143" spans="1:30">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row>
    <row r="144" spans="1:30">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row>
    <row r="145" spans="1:30">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row>
    <row r="146" spans="1:30">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row>
    <row r="147" spans="1:30">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row>
    <row r="148" spans="1:30">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row>
    <row r="149" spans="1:30">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row>
    <row r="150" spans="1:30">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row>
    <row r="151" spans="1:30">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row>
    <row r="152" spans="1:30">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row>
    <row r="153" spans="1:30">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row>
    <row r="154" spans="1:30">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row>
    <row r="155" spans="1:30">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row>
    <row r="156" spans="1:30">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row>
    <row r="157" spans="1:30">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row>
    <row r="158" spans="1:30">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row>
    <row r="159" spans="1:30">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row>
    <row r="160" spans="1:30">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row>
    <row r="161" spans="1:30">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row>
    <row r="162" spans="1:30">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row>
    <row r="163" spans="1:30">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row>
    <row r="164" spans="1:30">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row>
    <row r="165" spans="1:30">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row>
    <row r="166" spans="1:30">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row>
    <row r="167" spans="1:30">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row>
    <row r="168" spans="1:30">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row>
    <row r="169" spans="1:30">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76"/>
    </row>
    <row r="170" spans="1:30">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76"/>
    </row>
    <row r="171" spans="1:30">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row>
    <row r="172" spans="1:30">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row>
    <row r="173" spans="1:30">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row>
    <row r="174" spans="1:30">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76"/>
    </row>
    <row r="175" spans="1:30">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row>
    <row r="176" spans="1:30">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row>
    <row r="177" spans="1:30">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row>
    <row r="178" spans="1:30">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row>
    <row r="179" spans="1:30">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row>
    <row r="180" spans="1:30">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row>
    <row r="181" spans="1:30">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row>
    <row r="182" spans="1:30">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row>
    <row r="183" spans="1:30">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76"/>
    </row>
    <row r="184" spans="1:30">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row>
    <row r="185" spans="1:30">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row>
    <row r="186" spans="1:30">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row>
    <row r="187" spans="1:30">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row>
    <row r="188" spans="1:30">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row>
    <row r="189" spans="1:30">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row>
    <row r="190" spans="1:30">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row>
    <row r="191" spans="1:30">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76"/>
    </row>
    <row r="192" spans="1:30">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76"/>
    </row>
    <row r="193" spans="1:30">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76"/>
    </row>
    <row r="194" spans="1:30">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76"/>
    </row>
    <row r="195" spans="1:30">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76"/>
    </row>
    <row r="196" spans="1:30">
      <c r="A196" s="276"/>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row>
    <row r="197" spans="1:30">
      <c r="A197" s="276"/>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row>
    <row r="198" spans="1:30">
      <c r="A198" s="276"/>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76"/>
    </row>
    <row r="199" spans="1:30">
      <c r="A199" s="276"/>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row>
    <row r="200" spans="1:30">
      <c r="A200" s="276"/>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76"/>
    </row>
    <row r="201" spans="1:30">
      <c r="A201" s="276"/>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76"/>
    </row>
  </sheetData>
  <sheetProtection sheet="1" objects="1" scenarios="1"/>
  <mergeCells count="9">
    <mergeCell ref="B19:E19"/>
    <mergeCell ref="B21:E21"/>
    <mergeCell ref="A6:E6"/>
    <mergeCell ref="A9:E9"/>
    <mergeCell ref="A16:E16"/>
    <mergeCell ref="B11:E11"/>
    <mergeCell ref="B12:E12"/>
    <mergeCell ref="B13:E13"/>
    <mergeCell ref="B20:E20"/>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65A5A-9F80-4A5B-AE09-9C05335F9C45}">
  <sheetPr codeName="Sheet36"/>
  <dimension ref="A1:AD195"/>
  <sheetViews>
    <sheetView zoomScale="80" zoomScaleNormal="80" workbookViewId="0"/>
  </sheetViews>
  <sheetFormatPr defaultColWidth="9.140625" defaultRowHeight="12.75"/>
  <cols>
    <col min="1" max="1" width="9.85546875" style="275" customWidth="1"/>
    <col min="2" max="2" width="33.85546875" style="275" customWidth="1"/>
    <col min="3" max="3" width="28.85546875" style="275" customWidth="1"/>
    <col min="4" max="5" width="15.85546875" style="275" customWidth="1"/>
    <col min="6" max="7" width="6.140625" style="275" customWidth="1"/>
    <col min="8" max="16384" width="9.140625" style="275"/>
  </cols>
  <sheetData>
    <row r="1" spans="1:30" ht="24.95" customHeight="1">
      <c r="A1" s="276"/>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row>
    <row r="2" spans="1:30" ht="24.95" customHeight="1">
      <c r="A2" s="276"/>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row>
    <row r="3" spans="1:30" ht="15">
      <c r="A3" s="292" t="s">
        <v>1118</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row>
    <row r="4" spans="1:30">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row>
    <row r="5" spans="1:30">
      <c r="A5" s="316" t="s">
        <v>420</v>
      </c>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row>
    <row r="6" spans="1:30" ht="76.5" customHeight="1">
      <c r="A6" s="1398" t="s">
        <v>1187</v>
      </c>
      <c r="B6" s="1395"/>
      <c r="C6" s="1395"/>
      <c r="D6" s="1395"/>
      <c r="E6" s="1395"/>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row>
    <row r="7" spans="1:30">
      <c r="A7" s="281"/>
      <c r="B7" s="281"/>
      <c r="C7" s="281"/>
      <c r="D7" s="281"/>
      <c r="E7" s="281"/>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row>
    <row r="8" spans="1:30">
      <c r="A8" s="317" t="s">
        <v>422</v>
      </c>
      <c r="B8" s="281"/>
      <c r="C8" s="281"/>
      <c r="D8" s="281"/>
      <c r="E8" s="281"/>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row>
    <row r="9" spans="1:30" ht="42.75" customHeight="1">
      <c r="A9" s="1398" t="s">
        <v>1175</v>
      </c>
      <c r="B9" s="1395"/>
      <c r="C9" s="1395"/>
      <c r="D9" s="1395"/>
      <c r="E9" s="1395"/>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row>
    <row r="10" spans="1:30" ht="17.25" customHeight="1">
      <c r="A10" s="318" t="s">
        <v>539</v>
      </c>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row>
    <row r="11" spans="1:30">
      <c r="A11" s="284" t="s">
        <v>426</v>
      </c>
      <c r="B11" s="1400" t="s">
        <v>1120</v>
      </c>
      <c r="C11" s="1388"/>
      <c r="D11" s="1388"/>
      <c r="E11" s="1388"/>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row>
    <row r="12" spans="1:30">
      <c r="A12" s="281"/>
      <c r="B12" s="716"/>
      <c r="C12" s="281"/>
      <c r="D12" s="281"/>
      <c r="E12" s="281"/>
      <c r="F12" s="276"/>
      <c r="G12" s="276"/>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row>
    <row r="13" spans="1:30">
      <c r="A13" s="319" t="s">
        <v>423</v>
      </c>
      <c r="B13" s="281"/>
      <c r="C13" s="281"/>
      <c r="D13" s="281"/>
      <c r="E13" s="281"/>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row>
    <row r="14" spans="1:30" ht="29.45" customHeight="1">
      <c r="A14" s="1398" t="s">
        <v>1119</v>
      </c>
      <c r="B14" s="1395"/>
      <c r="C14" s="1395"/>
      <c r="D14" s="1395"/>
      <c r="E14" s="1395"/>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row>
    <row r="15" spans="1:30">
      <c r="A15" s="281"/>
      <c r="B15" s="281"/>
      <c r="C15" s="281"/>
      <c r="D15" s="281"/>
      <c r="E15" s="281"/>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row>
    <row r="16" spans="1:30">
      <c r="A16" s="281"/>
      <c r="B16" s="281"/>
      <c r="C16" s="281"/>
      <c r="D16" s="281"/>
      <c r="E16" s="281"/>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row>
    <row r="17" spans="1:30">
      <c r="A17" s="276"/>
      <c r="B17" s="276"/>
      <c r="C17" s="276"/>
      <c r="D17" s="276"/>
      <c r="E17" s="276"/>
      <c r="F17" s="276"/>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row>
    <row r="18" spans="1:30">
      <c r="A18" s="276"/>
      <c r="B18" s="276"/>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row>
    <row r="19" spans="1:30">
      <c r="A19" s="276"/>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row>
    <row r="20" spans="1:30">
      <c r="A20" s="276"/>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row>
    <row r="21" spans="1:30">
      <c r="A21" s="276"/>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row>
    <row r="22" spans="1:30">
      <c r="A22" s="276"/>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row>
    <row r="23" spans="1:30">
      <c r="A23" s="276"/>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row>
    <row r="24" spans="1:30">
      <c r="A24" s="276"/>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row>
    <row r="25" spans="1:30">
      <c r="A25" s="276"/>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row>
    <row r="26" spans="1:30">
      <c r="A26" s="276"/>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row>
    <row r="27" spans="1:30">
      <c r="A27" s="276"/>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30">
      <c r="A28" s="276"/>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row>
    <row r="29" spans="1:30">
      <c r="A29" s="276"/>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row>
    <row r="30" spans="1:30">
      <c r="A30" s="276"/>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row>
    <row r="31" spans="1:30">
      <c r="A31" s="276"/>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row>
    <row r="32" spans="1:30">
      <c r="A32" s="276"/>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row>
    <row r="33" spans="1:30">
      <c r="A33" s="276"/>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row>
    <row r="34" spans="1:30">
      <c r="A34" s="276"/>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row>
    <row r="35" spans="1:30">
      <c r="A35" s="276"/>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row>
    <row r="36" spans="1:30">
      <c r="A36" s="276"/>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row>
    <row r="37" spans="1:30">
      <c r="A37" s="276"/>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row>
    <row r="38" spans="1:30">
      <c r="A38" s="276"/>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row>
    <row r="39" spans="1:30">
      <c r="A39" s="276"/>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row>
    <row r="40" spans="1:30">
      <c r="A40" s="276"/>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row>
    <row r="41" spans="1:30">
      <c r="A41" s="276"/>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row>
    <row r="42" spans="1:30">
      <c r="A42" s="276"/>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row>
    <row r="43" spans="1:30">
      <c r="A43" s="276"/>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row>
    <row r="44" spans="1:30">
      <c r="A44" s="276"/>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row>
    <row r="45" spans="1:30">
      <c r="A45" s="276"/>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row>
    <row r="46" spans="1:30">
      <c r="A46" s="276"/>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row>
    <row r="47" spans="1:30">
      <c r="A47" s="276"/>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row>
    <row r="48" spans="1:30">
      <c r="A48" s="276"/>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row>
    <row r="49" spans="1:30">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row>
    <row r="50" spans="1:30">
      <c r="A50" s="276"/>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row>
    <row r="51" spans="1:30">
      <c r="A51" s="276"/>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row>
    <row r="52" spans="1:30">
      <c r="A52" s="276"/>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row>
    <row r="53" spans="1:30">
      <c r="A53" s="276"/>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row>
    <row r="54" spans="1:30">
      <c r="A54" s="276"/>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row>
    <row r="55" spans="1:30">
      <c r="A55" s="276"/>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row>
    <row r="56" spans="1:30">
      <c r="A56" s="276"/>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row>
    <row r="57" spans="1:30">
      <c r="A57" s="276"/>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row>
    <row r="58" spans="1:30">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row>
    <row r="59" spans="1:30">
      <c r="A59" s="276"/>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row>
    <row r="60" spans="1:30">
      <c r="A60" s="276"/>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row>
    <row r="61" spans="1:30">
      <c r="A61" s="276"/>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row>
    <row r="62" spans="1:30">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row>
    <row r="63" spans="1:30">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row>
    <row r="64" spans="1:30">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row>
    <row r="65" spans="1:30">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row>
    <row r="66" spans="1:30">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row>
    <row r="67" spans="1:30">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row>
    <row r="68" spans="1:30">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row>
    <row r="69" spans="1:30">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row>
    <row r="70" spans="1:30">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row>
    <row r="71" spans="1:30">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row>
    <row r="72" spans="1:30">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row>
    <row r="73" spans="1:30">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row>
    <row r="74" spans="1:30">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row>
    <row r="75" spans="1:30">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row>
    <row r="76" spans="1:30">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row>
    <row r="77" spans="1:30">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row>
    <row r="78" spans="1:30">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row>
    <row r="79" spans="1:30">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row>
    <row r="80" spans="1:30">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row>
    <row r="81" spans="1:30">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row>
    <row r="82" spans="1:30">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row>
    <row r="83" spans="1:30">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row>
    <row r="84" spans="1:30">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row>
    <row r="85" spans="1:30">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row>
    <row r="86" spans="1:30">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row>
    <row r="87" spans="1:30">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row>
    <row r="88" spans="1:30">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row>
    <row r="89" spans="1:30">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row>
    <row r="90" spans="1:30">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row>
    <row r="91" spans="1:30">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row>
    <row r="92" spans="1:30">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row>
    <row r="93" spans="1:30">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row>
    <row r="94" spans="1:30">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row>
    <row r="95" spans="1:30">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row>
    <row r="96" spans="1:30">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row>
    <row r="97" spans="1:30">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row>
    <row r="98" spans="1:30">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row>
    <row r="99" spans="1:30">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row>
    <row r="100" spans="1:30">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row>
    <row r="101" spans="1:30">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row>
    <row r="102" spans="1:30">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row>
    <row r="103" spans="1:30">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row>
    <row r="104" spans="1:30">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row>
    <row r="105" spans="1:30">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row>
    <row r="106" spans="1:30">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row>
    <row r="107" spans="1:30">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row>
    <row r="108" spans="1:30">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row>
    <row r="109" spans="1:30">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row>
    <row r="110" spans="1:30">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row>
    <row r="111" spans="1:30">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row>
    <row r="112" spans="1:30">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row>
    <row r="113" spans="1:30">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row>
    <row r="114" spans="1:30">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row>
    <row r="115" spans="1:30">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row>
    <row r="116" spans="1:30">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row>
    <row r="117" spans="1:30">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row>
    <row r="118" spans="1:30">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row>
    <row r="119" spans="1:30">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row>
    <row r="120" spans="1:30">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row>
    <row r="121" spans="1:30">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row>
    <row r="122" spans="1:30">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row>
    <row r="123" spans="1:30">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row>
    <row r="124" spans="1:30">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row>
    <row r="125" spans="1:30">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row>
    <row r="126" spans="1:30">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row>
    <row r="127" spans="1:30">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row>
    <row r="128" spans="1:30">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row>
    <row r="129" spans="1:30">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row>
    <row r="130" spans="1:30">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row>
    <row r="131" spans="1:30">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row>
    <row r="132" spans="1:30">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row>
    <row r="133" spans="1:30">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row>
    <row r="134" spans="1:30">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row>
    <row r="135" spans="1:30">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row>
    <row r="136" spans="1:30">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row>
    <row r="137" spans="1:30">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row>
    <row r="138" spans="1:30">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row>
    <row r="139" spans="1:30">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row>
    <row r="140" spans="1:30">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row>
    <row r="141" spans="1:30">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row>
    <row r="142" spans="1:30">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row>
    <row r="143" spans="1:30">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row>
    <row r="144" spans="1:30">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row>
    <row r="145" spans="1:30">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row>
    <row r="146" spans="1:30">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row>
    <row r="147" spans="1:30">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row>
    <row r="148" spans="1:30">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row>
    <row r="149" spans="1:30">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row>
    <row r="150" spans="1:30">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row>
    <row r="151" spans="1:30">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row>
    <row r="152" spans="1:30">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row>
    <row r="153" spans="1:30">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row>
    <row r="154" spans="1:30">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row>
    <row r="155" spans="1:30">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row>
    <row r="156" spans="1:30">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row>
    <row r="157" spans="1:30">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row>
    <row r="158" spans="1:30">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row>
    <row r="159" spans="1:30">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row>
    <row r="160" spans="1:30">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row>
    <row r="161" spans="1:30">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row>
    <row r="162" spans="1:30">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row>
    <row r="163" spans="1:30">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row>
    <row r="164" spans="1:30">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row>
    <row r="165" spans="1:30">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row>
    <row r="166" spans="1:30">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row>
    <row r="167" spans="1:30">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row>
    <row r="168" spans="1:30">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row>
    <row r="169" spans="1:30">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76"/>
    </row>
    <row r="170" spans="1:30">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76"/>
    </row>
    <row r="171" spans="1:30">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row>
    <row r="172" spans="1:30">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row>
    <row r="173" spans="1:30">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row>
    <row r="174" spans="1:30">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76"/>
    </row>
    <row r="175" spans="1:30">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row>
    <row r="176" spans="1:30">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row>
    <row r="177" spans="1:30">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row>
    <row r="178" spans="1:30">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row>
    <row r="179" spans="1:30">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row>
    <row r="180" spans="1:30">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row>
    <row r="181" spans="1:30">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row>
    <row r="182" spans="1:30">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row>
    <row r="183" spans="1:30">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76"/>
    </row>
    <row r="184" spans="1:30">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row>
    <row r="185" spans="1:30">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row>
    <row r="186" spans="1:30">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row>
    <row r="187" spans="1:30">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row>
    <row r="188" spans="1:30">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row>
    <row r="189" spans="1:30">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row>
    <row r="190" spans="1:30">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row>
    <row r="191" spans="1:30">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76"/>
    </row>
    <row r="192" spans="1:30">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76"/>
    </row>
    <row r="193" spans="1:30">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76"/>
    </row>
    <row r="194" spans="1:30">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76"/>
    </row>
    <row r="195" spans="1:30">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76"/>
    </row>
  </sheetData>
  <sheetProtection sheet="1" objects="1" scenarios="1"/>
  <mergeCells count="4">
    <mergeCell ref="A6:E6"/>
    <mergeCell ref="A9:E9"/>
    <mergeCell ref="B11:E11"/>
    <mergeCell ref="A14:E14"/>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dimension ref="A1:AD200"/>
  <sheetViews>
    <sheetView zoomScale="80" zoomScaleNormal="80" workbookViewId="0"/>
  </sheetViews>
  <sheetFormatPr defaultColWidth="9.140625" defaultRowHeight="12.75"/>
  <cols>
    <col min="1" max="1" width="9.85546875" style="275" customWidth="1"/>
    <col min="2" max="2" width="33.85546875" style="275" customWidth="1"/>
    <col min="3" max="3" width="28.85546875" style="275" customWidth="1"/>
    <col min="4" max="5" width="15.85546875" style="275" customWidth="1"/>
    <col min="6" max="7" width="6.140625" style="275" customWidth="1"/>
    <col min="8" max="16384" width="9.140625" style="275"/>
  </cols>
  <sheetData>
    <row r="1" spans="1:30" ht="24.95" customHeight="1">
      <c r="A1" s="276"/>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row>
    <row r="2" spans="1:30" ht="24.95" customHeight="1">
      <c r="A2" s="276"/>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row>
    <row r="3" spans="1:30" ht="15">
      <c r="A3" s="292" t="s">
        <v>958</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row>
    <row r="4" spans="1:30">
      <c r="A4" s="276"/>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row>
    <row r="5" spans="1:30">
      <c r="A5" s="316" t="s">
        <v>420</v>
      </c>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row>
    <row r="6" spans="1:30" ht="42" customHeight="1">
      <c r="A6" s="1395" t="s">
        <v>1010</v>
      </c>
      <c r="B6" s="1395"/>
      <c r="C6" s="1395"/>
      <c r="D6" s="1395"/>
      <c r="E6" s="1395"/>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row>
    <row r="7" spans="1:30">
      <c r="A7" s="281"/>
      <c r="B7" s="281"/>
      <c r="C7" s="281"/>
      <c r="D7" s="281"/>
      <c r="E7" s="281"/>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row>
    <row r="8" spans="1:30">
      <c r="A8" s="317" t="s">
        <v>422</v>
      </c>
      <c r="B8" s="281"/>
      <c r="C8" s="281"/>
      <c r="D8" s="281"/>
      <c r="E8" s="281"/>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row>
    <row r="9" spans="1:30">
      <c r="A9" s="1395" t="s">
        <v>941</v>
      </c>
      <c r="B9" s="1395"/>
      <c r="C9" s="1395"/>
      <c r="D9" s="1395"/>
      <c r="E9" s="1395"/>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row>
    <row r="10" spans="1:30">
      <c r="A10" s="281"/>
      <c r="B10" s="281"/>
      <c r="C10" s="281"/>
      <c r="D10" s="281"/>
      <c r="E10" s="281"/>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row>
    <row r="11" spans="1:30">
      <c r="A11" s="319" t="s">
        <v>423</v>
      </c>
      <c r="B11" s="281"/>
      <c r="C11" s="281"/>
      <c r="D11" s="281"/>
      <c r="E11" s="281"/>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row>
    <row r="12" spans="1:30" ht="27.75" customHeight="1">
      <c r="A12" s="1395" t="s">
        <v>720</v>
      </c>
      <c r="B12" s="1395"/>
      <c r="C12" s="1395"/>
      <c r="D12" s="1395"/>
      <c r="E12" s="1395"/>
      <c r="F12" s="276"/>
      <c r="G12" s="276"/>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row>
    <row r="13" spans="1:30">
      <c r="A13" s="281"/>
      <c r="B13" s="281"/>
      <c r="C13" s="281"/>
      <c r="D13" s="281"/>
      <c r="E13" s="281"/>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76"/>
    </row>
    <row r="14" spans="1:30">
      <c r="A14" s="276"/>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row>
    <row r="15" spans="1:30">
      <c r="A15" s="276"/>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row>
    <row r="16" spans="1:30">
      <c r="A16" s="276"/>
      <c r="B16" s="276"/>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row>
    <row r="17" spans="1:30">
      <c r="A17" s="276"/>
      <c r="B17" s="276"/>
      <c r="C17" s="276"/>
      <c r="D17" s="276"/>
      <c r="E17" s="276"/>
      <c r="F17" s="276"/>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row>
    <row r="18" spans="1:30">
      <c r="A18" s="276"/>
      <c r="B18" s="276"/>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row>
    <row r="19" spans="1:30">
      <c r="A19" s="276"/>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row>
    <row r="20" spans="1:30">
      <c r="A20" s="276"/>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row>
    <row r="21" spans="1:30">
      <c r="A21" s="276"/>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row>
    <row r="22" spans="1:30">
      <c r="A22" s="276"/>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row>
    <row r="23" spans="1:30">
      <c r="A23" s="276"/>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row>
    <row r="24" spans="1:30">
      <c r="A24" s="276"/>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row>
    <row r="25" spans="1:30">
      <c r="A25" s="276"/>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row>
    <row r="26" spans="1:30">
      <c r="A26" s="276"/>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row>
    <row r="27" spans="1:30">
      <c r="A27" s="276"/>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30">
      <c r="A28" s="276"/>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row>
    <row r="29" spans="1:30">
      <c r="A29" s="276"/>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row>
    <row r="30" spans="1:30">
      <c r="A30" s="276"/>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row>
    <row r="31" spans="1:30">
      <c r="A31" s="276"/>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row>
    <row r="32" spans="1:30">
      <c r="A32" s="276"/>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row>
    <row r="33" spans="1:30">
      <c r="A33" s="276"/>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row>
    <row r="34" spans="1:30">
      <c r="A34" s="276"/>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row>
    <row r="35" spans="1:30">
      <c r="A35" s="276"/>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row>
    <row r="36" spans="1:30">
      <c r="A36" s="276"/>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row>
    <row r="37" spans="1:30">
      <c r="A37" s="276"/>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row>
    <row r="38" spans="1:30">
      <c r="A38" s="276"/>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row>
    <row r="39" spans="1:30">
      <c r="A39" s="276"/>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row>
    <row r="40" spans="1:30">
      <c r="A40" s="276"/>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row>
    <row r="41" spans="1:30">
      <c r="A41" s="276"/>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row>
    <row r="42" spans="1:30">
      <c r="A42" s="276"/>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row>
    <row r="43" spans="1:30">
      <c r="A43" s="276"/>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row>
    <row r="44" spans="1:30">
      <c r="A44" s="276"/>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row>
    <row r="45" spans="1:30">
      <c r="A45" s="276"/>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row>
    <row r="46" spans="1:30">
      <c r="A46" s="276"/>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row>
    <row r="47" spans="1:30">
      <c r="A47" s="276"/>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row>
    <row r="48" spans="1:30">
      <c r="A48" s="276"/>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row>
    <row r="49" spans="1:30">
      <c r="A49" s="276"/>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row>
    <row r="50" spans="1:30">
      <c r="A50" s="276"/>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row>
    <row r="51" spans="1:30">
      <c r="A51" s="276"/>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row>
    <row r="52" spans="1:30">
      <c r="A52" s="276"/>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row>
    <row r="53" spans="1:30">
      <c r="A53" s="276"/>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row>
    <row r="54" spans="1:30">
      <c r="A54" s="276"/>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row>
    <row r="55" spans="1:30">
      <c r="A55" s="276"/>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row>
    <row r="56" spans="1:30">
      <c r="A56" s="276"/>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row>
    <row r="57" spans="1:30">
      <c r="A57" s="276"/>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row>
    <row r="58" spans="1:30">
      <c r="A58" s="276"/>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row>
    <row r="59" spans="1:30">
      <c r="A59" s="276"/>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row>
    <row r="60" spans="1:30">
      <c r="A60" s="276"/>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row>
    <row r="61" spans="1:30">
      <c r="A61" s="276"/>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row>
    <row r="62" spans="1:30">
      <c r="A62" s="276"/>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row>
    <row r="63" spans="1:30">
      <c r="A63" s="276"/>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row>
    <row r="64" spans="1:30">
      <c r="A64" s="276"/>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row>
    <row r="65" spans="1:30">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row>
    <row r="66" spans="1:30">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row>
    <row r="67" spans="1:30">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row>
    <row r="68" spans="1:30">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row>
    <row r="69" spans="1:30">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row>
    <row r="70" spans="1:30">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row>
    <row r="71" spans="1:30">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row>
    <row r="72" spans="1:30">
      <c r="A72" s="276"/>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row>
    <row r="73" spans="1:30">
      <c r="A73" s="276"/>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row>
    <row r="74" spans="1:30">
      <c r="A74" s="276"/>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row>
    <row r="75" spans="1:30">
      <c r="A75" s="276"/>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row>
    <row r="76" spans="1:30">
      <c r="A76" s="276"/>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row>
    <row r="77" spans="1:30">
      <c r="A77" s="276"/>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row>
    <row r="78" spans="1:30">
      <c r="A78" s="276"/>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row>
    <row r="79" spans="1:30">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row>
    <row r="80" spans="1:30">
      <c r="A80" s="276"/>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row>
    <row r="81" spans="1:30">
      <c r="A81" s="276"/>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row>
    <row r="82" spans="1:30">
      <c r="A82" s="276"/>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row>
    <row r="83" spans="1:30">
      <c r="A83" s="276"/>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row>
    <row r="84" spans="1:30">
      <c r="A84" s="276"/>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row>
    <row r="85" spans="1:30">
      <c r="A85" s="276"/>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row>
    <row r="86" spans="1:30">
      <c r="A86" s="276"/>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row>
    <row r="87" spans="1:30">
      <c r="A87" s="276"/>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row>
    <row r="88" spans="1:30">
      <c r="A88" s="276"/>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row>
    <row r="89" spans="1:30">
      <c r="A89" s="276"/>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row>
    <row r="90" spans="1:30">
      <c r="A90" s="276"/>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row>
    <row r="91" spans="1:30">
      <c r="A91" s="276"/>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76"/>
    </row>
    <row r="92" spans="1:30">
      <c r="A92" s="276"/>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76"/>
    </row>
    <row r="93" spans="1:30">
      <c r="A93" s="276"/>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row>
    <row r="94" spans="1:30">
      <c r="A94" s="276"/>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row>
    <row r="95" spans="1:30">
      <c r="A95" s="276"/>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row>
    <row r="96" spans="1:30">
      <c r="A96" s="276"/>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row>
    <row r="97" spans="1:30">
      <c r="A97" s="276"/>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76"/>
    </row>
    <row r="98" spans="1:30">
      <c r="A98" s="276"/>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76"/>
    </row>
    <row r="99" spans="1:30">
      <c r="A99" s="276"/>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row>
    <row r="100" spans="1:30">
      <c r="A100" s="276"/>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row>
    <row r="101" spans="1:30">
      <c r="A101" s="276"/>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row>
    <row r="102" spans="1:30">
      <c r="A102" s="276"/>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row>
    <row r="103" spans="1:30">
      <c r="A103" s="276"/>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row>
    <row r="104" spans="1:30">
      <c r="A104" s="276"/>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row>
    <row r="105" spans="1:30">
      <c r="A105" s="276"/>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row>
    <row r="106" spans="1:30">
      <c r="A106" s="276"/>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row>
    <row r="107" spans="1:30">
      <c r="A107" s="276"/>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row>
    <row r="108" spans="1:30">
      <c r="A108" s="276"/>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row>
    <row r="109" spans="1:30">
      <c r="A109" s="276"/>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row>
    <row r="110" spans="1:30">
      <c r="A110" s="276"/>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row>
    <row r="111" spans="1:30">
      <c r="A111" s="276"/>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row>
    <row r="112" spans="1:30">
      <c r="A112" s="276"/>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row>
    <row r="113" spans="1:30">
      <c r="A113" s="276"/>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row>
    <row r="114" spans="1:30">
      <c r="A114" s="276"/>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row>
    <row r="115" spans="1:30">
      <c r="A115" s="276"/>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row>
    <row r="116" spans="1:30">
      <c r="A116" s="276"/>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row>
    <row r="117" spans="1:30">
      <c r="A117" s="276"/>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row>
    <row r="118" spans="1:30">
      <c r="A118" s="276"/>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row>
    <row r="119" spans="1:30">
      <c r="A119" s="276"/>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row>
    <row r="120" spans="1:30">
      <c r="A120" s="276"/>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row>
    <row r="121" spans="1:30">
      <c r="A121" s="276"/>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row>
    <row r="122" spans="1:30">
      <c r="A122" s="276"/>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row>
    <row r="123" spans="1:30">
      <c r="A123" s="276"/>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row>
    <row r="124" spans="1:30">
      <c r="A124" s="276"/>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row>
    <row r="125" spans="1:30">
      <c r="A125" s="276"/>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row>
    <row r="126" spans="1:30">
      <c r="A126" s="276"/>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row>
    <row r="127" spans="1:30">
      <c r="A127" s="276"/>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row>
    <row r="128" spans="1:30">
      <c r="A128" s="276"/>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row>
    <row r="129" spans="1:30">
      <c r="A129" s="276"/>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row>
    <row r="130" spans="1:30">
      <c r="A130" s="276"/>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76"/>
    </row>
    <row r="131" spans="1:30">
      <c r="A131" s="276"/>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row>
    <row r="132" spans="1:30">
      <c r="A132" s="276"/>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row>
    <row r="133" spans="1:30">
      <c r="A133" s="276"/>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row>
    <row r="134" spans="1:30">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row>
    <row r="135" spans="1:30">
      <c r="A135" s="276"/>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row>
    <row r="136" spans="1:30">
      <c r="A136" s="276"/>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row>
    <row r="137" spans="1:30">
      <c r="A137" s="276"/>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row>
    <row r="138" spans="1:30">
      <c r="A138" s="276"/>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row>
    <row r="139" spans="1:30">
      <c r="A139" s="276"/>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row>
    <row r="140" spans="1:30">
      <c r="A140" s="276"/>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row>
    <row r="141" spans="1:30">
      <c r="A141" s="276"/>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row>
    <row r="142" spans="1:30">
      <c r="A142" s="276"/>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row>
    <row r="143" spans="1:30">
      <c r="A143" s="276"/>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row>
    <row r="144" spans="1:30">
      <c r="A144" s="276"/>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row>
    <row r="145" spans="1:30">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row>
    <row r="146" spans="1:30">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row>
    <row r="147" spans="1:30">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76"/>
    </row>
    <row r="148" spans="1:30">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row>
    <row r="149" spans="1:30">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row>
    <row r="150" spans="1:30">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row>
    <row r="151" spans="1:30">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76"/>
    </row>
    <row r="152" spans="1:30">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row>
    <row r="153" spans="1:30">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row>
    <row r="154" spans="1:30">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row>
    <row r="155" spans="1:30">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row>
    <row r="156" spans="1:30">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row>
    <row r="157" spans="1:30">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76"/>
    </row>
    <row r="158" spans="1:30">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row>
    <row r="159" spans="1:30">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row>
    <row r="160" spans="1:30">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row>
    <row r="161" spans="1:30">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row>
    <row r="162" spans="1:30">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row>
    <row r="163" spans="1:30">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76"/>
    </row>
    <row r="164" spans="1:30">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row>
    <row r="165" spans="1:30">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row>
    <row r="166" spans="1:30">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76"/>
    </row>
    <row r="167" spans="1:30">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row>
    <row r="168" spans="1:30">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76"/>
    </row>
    <row r="169" spans="1:30">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76"/>
    </row>
    <row r="170" spans="1:30">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76"/>
    </row>
    <row r="171" spans="1:30">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row>
    <row r="172" spans="1:30">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row>
    <row r="173" spans="1:30">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76"/>
    </row>
    <row r="174" spans="1:30">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76"/>
    </row>
    <row r="175" spans="1:30">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row>
    <row r="176" spans="1:30">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row>
    <row r="177" spans="1:30">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row>
    <row r="178" spans="1:30">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row>
    <row r="179" spans="1:30">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76"/>
    </row>
    <row r="180" spans="1:30">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76"/>
    </row>
    <row r="181" spans="1:30">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row>
    <row r="182" spans="1:30">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76"/>
    </row>
    <row r="183" spans="1:30">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76"/>
    </row>
    <row r="184" spans="1:30">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row>
    <row r="185" spans="1:30">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row>
    <row r="186" spans="1:30">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row>
    <row r="187" spans="1:30">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row>
    <row r="188" spans="1:30">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row>
    <row r="189" spans="1:30">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row>
    <row r="190" spans="1:30">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76"/>
    </row>
    <row r="191" spans="1:30">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76"/>
    </row>
    <row r="192" spans="1:30">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76"/>
    </row>
    <row r="193" spans="1:30">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76"/>
    </row>
    <row r="194" spans="1:30">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76"/>
    </row>
    <row r="195" spans="1:30">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76"/>
    </row>
    <row r="196" spans="1:30">
      <c r="A196" s="276"/>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row>
    <row r="197" spans="1:30">
      <c r="A197" s="276"/>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row>
    <row r="198" spans="1:30">
      <c r="A198" s="276"/>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76"/>
    </row>
    <row r="199" spans="1:30">
      <c r="A199" s="276"/>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row>
    <row r="200" spans="1:30">
      <c r="A200" s="276"/>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76"/>
    </row>
  </sheetData>
  <sheetProtection sheet="1"/>
  <mergeCells count="3">
    <mergeCell ref="A6:E6"/>
    <mergeCell ref="A9:E9"/>
    <mergeCell ref="A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F243"/>
  <sheetViews>
    <sheetView topLeftCell="A4" zoomScale="125" zoomScaleNormal="80" workbookViewId="0">
      <selection activeCell="C17" sqref="C17"/>
    </sheetView>
  </sheetViews>
  <sheetFormatPr defaultColWidth="8.85546875" defaultRowHeight="12.75"/>
  <cols>
    <col min="1" max="1" width="9.85546875" customWidth="1"/>
    <col min="2" max="2" width="33.140625" customWidth="1"/>
    <col min="3" max="3" width="18.85546875" customWidth="1"/>
    <col min="4" max="4" width="25" customWidth="1"/>
    <col min="5" max="5" width="15.85546875" customWidth="1"/>
    <col min="6" max="6" width="13.85546875" customWidth="1"/>
    <col min="7" max="7" width="11.140625" bestFit="1" customWidth="1"/>
    <col min="8" max="8" width="10.140625" bestFit="1" customWidth="1"/>
    <col min="9" max="9" width="9.140625" bestFit="1" customWidth="1"/>
    <col min="11" max="11" width="12.85546875" bestFit="1" customWidth="1"/>
    <col min="12" max="12" width="10.140625" bestFit="1" customWidth="1"/>
    <col min="21" max="21" width="8.85546875" customWidth="1"/>
  </cols>
  <sheetData>
    <row r="1" spans="1:32"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row>
    <row r="2" spans="1:32"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row>
    <row r="3" spans="1:32" ht="15">
      <c r="A3" s="5" t="s">
        <v>797</v>
      </c>
      <c r="B3" s="4"/>
      <c r="C3" s="4"/>
      <c r="D3" s="4"/>
      <c r="E3" s="4"/>
      <c r="F3" s="162"/>
      <c r="G3" s="162" t="s">
        <v>1365</v>
      </c>
      <c r="H3" s="162"/>
      <c r="I3" s="162"/>
      <c r="J3" s="162"/>
      <c r="K3" s="162"/>
      <c r="L3" s="162"/>
      <c r="M3" s="162"/>
      <c r="N3" s="162"/>
      <c r="O3" s="162"/>
      <c r="P3" s="162"/>
      <c r="Q3" s="162"/>
      <c r="R3" s="162"/>
      <c r="S3" s="162"/>
      <c r="T3" s="162"/>
      <c r="U3" s="162"/>
      <c r="V3" s="162"/>
      <c r="W3" s="162"/>
      <c r="X3" s="162"/>
      <c r="Y3" s="162"/>
      <c r="Z3" s="162"/>
      <c r="AA3" s="162"/>
      <c r="AB3" s="162"/>
      <c r="AC3" s="162"/>
      <c r="AD3" s="162"/>
      <c r="AE3" s="162"/>
    </row>
    <row r="4" spans="1:32">
      <c r="A4" s="4"/>
      <c r="B4" s="4"/>
      <c r="C4" s="4"/>
      <c r="D4" s="4"/>
      <c r="E4" s="4"/>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row>
    <row r="5" spans="1:32">
      <c r="A5" s="7" t="s">
        <v>293</v>
      </c>
      <c r="B5" s="4"/>
      <c r="C5" s="4"/>
      <c r="D5" s="4"/>
      <c r="E5" s="4"/>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row>
    <row r="6" spans="1:32" ht="25.5" customHeight="1">
      <c r="A6" s="1194" t="s">
        <v>683</v>
      </c>
      <c r="B6" s="1195"/>
      <c r="C6" s="1195"/>
      <c r="D6" s="1195"/>
      <c r="E6" s="1195"/>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row>
    <row r="7" spans="1:32">
      <c r="A7" s="626" t="s">
        <v>1020</v>
      </c>
      <c r="B7" s="4"/>
      <c r="C7" s="4"/>
      <c r="D7" s="4"/>
      <c r="E7" s="4"/>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row>
    <row r="8" spans="1:32" ht="40.5" customHeight="1">
      <c r="A8" s="1192" t="s">
        <v>1021</v>
      </c>
      <c r="B8" s="1193"/>
      <c r="C8" s="1193"/>
      <c r="D8" s="1193"/>
      <c r="E8" s="1193"/>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row>
    <row r="9" spans="1:32" ht="25.5" customHeight="1">
      <c r="A9" s="1189" t="s">
        <v>678</v>
      </c>
      <c r="B9" s="1189"/>
      <c r="C9" s="1189"/>
      <c r="D9" s="1189"/>
      <c r="E9" s="1189"/>
      <c r="F9" s="1189"/>
      <c r="G9" s="1189"/>
      <c r="H9" s="162"/>
      <c r="I9" s="162"/>
      <c r="J9" s="162"/>
      <c r="K9" s="162"/>
      <c r="L9" s="162"/>
      <c r="M9" s="162"/>
      <c r="N9" s="162"/>
      <c r="O9" s="162"/>
      <c r="P9" s="162"/>
      <c r="Q9" s="162"/>
      <c r="R9" s="162"/>
      <c r="S9" s="162"/>
      <c r="T9" s="162"/>
      <c r="U9" s="162"/>
      <c r="V9" s="162"/>
      <c r="W9" s="162"/>
      <c r="X9" s="162"/>
      <c r="Y9" s="162"/>
      <c r="Z9" s="162"/>
      <c r="AA9" s="162"/>
      <c r="AB9" s="162"/>
      <c r="AC9" s="162"/>
      <c r="AE9" s="162"/>
    </row>
    <row r="10" spans="1:32" ht="15.75">
      <c r="A10" s="219" t="s">
        <v>677</v>
      </c>
      <c r="B10" s="4"/>
      <c r="C10" s="4"/>
      <c r="D10" s="4"/>
      <c r="E10" s="4"/>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2">
      <c r="A11" s="7"/>
      <c r="B11" s="4"/>
      <c r="C11" s="4"/>
      <c r="D11" s="4"/>
      <c r="E11" s="4"/>
      <c r="F11" s="162"/>
      <c r="G11" s="162"/>
      <c r="H11" s="162"/>
      <c r="I11" s="162"/>
      <c r="J11" s="162"/>
      <c r="L11" s="162"/>
      <c r="M11" s="162"/>
      <c r="N11" s="162"/>
      <c r="O11" s="162"/>
      <c r="P11" s="162"/>
      <c r="Q11" s="162"/>
      <c r="R11" s="162"/>
      <c r="S11" s="162"/>
      <c r="T11" s="162"/>
      <c r="U11" s="162"/>
      <c r="V11" s="162"/>
      <c r="W11" s="162"/>
      <c r="X11" s="162"/>
      <c r="Y11" s="162"/>
      <c r="Z11" s="162"/>
      <c r="AA11" s="162"/>
      <c r="AB11" s="162"/>
      <c r="AC11" s="162"/>
      <c r="AD11" s="162"/>
      <c r="AE11" s="162"/>
    </row>
    <row r="12" spans="1:32" ht="13.5" thickBot="1">
      <c r="A12" s="7" t="s">
        <v>177</v>
      </c>
      <c r="B12" s="4"/>
      <c r="C12" s="4"/>
      <c r="D12" s="4"/>
      <c r="E12" s="4"/>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row>
    <row r="13" spans="1:32">
      <c r="A13" s="12" t="s">
        <v>153</v>
      </c>
      <c r="B13" s="13" t="s">
        <v>153</v>
      </c>
      <c r="C13" s="13" t="s">
        <v>153</v>
      </c>
      <c r="D13" s="13" t="s">
        <v>154</v>
      </c>
      <c r="E13" s="13" t="s">
        <v>1336</v>
      </c>
      <c r="F13" s="13" t="s">
        <v>155</v>
      </c>
      <c r="G13" s="1187" t="s">
        <v>159</v>
      </c>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row>
    <row r="14" spans="1:32" ht="13.5" thickBot="1">
      <c r="A14" s="15" t="s">
        <v>156</v>
      </c>
      <c r="B14" s="16" t="s">
        <v>157</v>
      </c>
      <c r="C14" s="16" t="s">
        <v>679</v>
      </c>
      <c r="D14" s="16" t="s">
        <v>158</v>
      </c>
      <c r="E14" s="19" t="s">
        <v>1337</v>
      </c>
      <c r="F14" s="16" t="s">
        <v>158</v>
      </c>
      <c r="G14" s="1188"/>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row>
    <row r="15" spans="1:32">
      <c r="A15" s="448" t="s">
        <v>95</v>
      </c>
      <c r="B15" s="449" t="s">
        <v>160</v>
      </c>
      <c r="C15" s="479">
        <v>12517</v>
      </c>
      <c r="D15" s="467" t="s">
        <v>166</v>
      </c>
      <c r="E15" s="467" t="str">
        <f>IF(D15="","",VLOOKUP(D15,DropDown!$R$2:$S$28,2,FALSE))</f>
        <v>Gas</v>
      </c>
      <c r="F15" s="450">
        <v>10000</v>
      </c>
      <c r="G15" s="955" t="s">
        <v>1017</v>
      </c>
      <c r="H15" s="714"/>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row>
    <row r="16" spans="1:32">
      <c r="A16" s="838"/>
      <c r="B16" s="725" t="s">
        <v>1366</v>
      </c>
      <c r="C16" s="179">
        <v>7149</v>
      </c>
      <c r="D16" s="950" t="s">
        <v>166</v>
      </c>
      <c r="E16" s="952" t="str">
        <f>IF(D16="","",VLOOKUP(D16,DropDown!$R$2:$S$28,2,FALSE))</f>
        <v>Gas</v>
      </c>
      <c r="F16" s="179">
        <v>72000</v>
      </c>
      <c r="G16" s="882" t="s">
        <v>1017</v>
      </c>
      <c r="H16" s="707"/>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row>
    <row r="17" spans="1:32">
      <c r="A17" s="65"/>
      <c r="B17" s="29"/>
      <c r="D17" s="175"/>
      <c r="E17" s="952" t="str">
        <f>IF(D17="","",VLOOKUP(D17,DropDown!$R$2:$S$28,2,FALSE))</f>
        <v/>
      </c>
      <c r="F17" s="179"/>
      <c r="G17" s="956"/>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row>
    <row r="18" spans="1:32">
      <c r="A18" s="65"/>
      <c r="B18" s="723"/>
      <c r="C18" s="179"/>
      <c r="D18" s="175"/>
      <c r="E18" s="952" t="str">
        <f>IF(D18="","",VLOOKUP(D18,DropDown!$R$2:$S$28,2,FALSE))</f>
        <v/>
      </c>
      <c r="F18" s="179"/>
      <c r="G18" s="956"/>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row>
    <row r="19" spans="1:32">
      <c r="A19" s="65"/>
      <c r="B19" s="29"/>
      <c r="C19" s="179"/>
      <c r="D19" s="175"/>
      <c r="E19" s="953" t="str">
        <f>IF(D19="","",VLOOKUP(D19,DropDown!$R$2:$S$28,2,FALSE))</f>
        <v/>
      </c>
      <c r="F19" s="179"/>
      <c r="G19" s="956"/>
      <c r="H19" s="162"/>
      <c r="I19" s="162"/>
      <c r="J19" s="336"/>
      <c r="K19" s="336"/>
      <c r="L19" s="774"/>
      <c r="M19" s="162"/>
      <c r="N19" s="162"/>
      <c r="O19" s="162"/>
      <c r="P19" s="162"/>
      <c r="Q19" s="162"/>
      <c r="R19" s="162"/>
      <c r="S19" s="162"/>
      <c r="T19" s="162"/>
      <c r="U19" s="162"/>
      <c r="V19" s="162"/>
      <c r="W19" s="162"/>
      <c r="X19" s="162"/>
      <c r="Y19" s="162"/>
      <c r="Z19" s="162"/>
      <c r="AA19" s="162"/>
      <c r="AB19" s="162"/>
      <c r="AC19" s="162"/>
      <c r="AD19" s="162"/>
      <c r="AE19" s="162"/>
      <c r="AF19" s="162"/>
    </row>
    <row r="20" spans="1:32">
      <c r="A20" s="65"/>
      <c r="B20" s="29"/>
      <c r="C20" s="179"/>
      <c r="D20" s="175"/>
      <c r="E20" s="953" t="str">
        <f>IF(D20="","",VLOOKUP(D20,DropDown!$R$2:$S$28,2,FALSE))</f>
        <v/>
      </c>
      <c r="F20" s="179"/>
      <c r="G20" s="956"/>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row>
    <row r="21" spans="1:32">
      <c r="A21" s="65"/>
      <c r="B21" s="29"/>
      <c r="C21" s="179"/>
      <c r="D21" s="175"/>
      <c r="E21" s="953" t="str">
        <f>IF(D21="","",VLOOKUP(D21,DropDown!$R$2:$S$28,2,FALSE))</f>
        <v/>
      </c>
      <c r="F21" s="179"/>
      <c r="G21" s="956"/>
      <c r="H21" s="162"/>
      <c r="I21" s="336"/>
      <c r="J21" s="336"/>
      <c r="K21" s="336"/>
      <c r="L21" s="162"/>
      <c r="M21" s="162"/>
      <c r="N21" s="162"/>
      <c r="O21" s="162"/>
      <c r="P21" s="162"/>
      <c r="Q21" s="162"/>
      <c r="R21" s="162"/>
      <c r="S21" s="162"/>
      <c r="T21" s="162"/>
      <c r="U21" s="162"/>
      <c r="V21" s="162"/>
      <c r="W21" s="162"/>
      <c r="X21" s="162"/>
      <c r="Y21" s="162"/>
      <c r="Z21" s="162"/>
      <c r="AA21" s="162"/>
      <c r="AB21" s="162"/>
      <c r="AC21" s="162"/>
      <c r="AD21" s="162"/>
      <c r="AE21" s="162"/>
      <c r="AF21" s="162"/>
    </row>
    <row r="22" spans="1:32">
      <c r="A22" s="65"/>
      <c r="B22" s="29"/>
      <c r="C22" s="179"/>
      <c r="D22" s="175"/>
      <c r="E22" s="953" t="str">
        <f>IF(D22="","",VLOOKUP(D22,DropDown!$R$2:$S$28,2,FALSE))</f>
        <v/>
      </c>
      <c r="F22" s="179"/>
      <c r="G22" s="956"/>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row>
    <row r="23" spans="1:32">
      <c r="A23" s="65"/>
      <c r="B23" s="29"/>
      <c r="C23" s="179"/>
      <c r="D23" s="175"/>
      <c r="E23" s="953" t="str">
        <f>IF(D23="","",VLOOKUP(D23,DropDown!$R$2:$S$28,2,FALSE))</f>
        <v/>
      </c>
      <c r="F23" s="179"/>
      <c r="G23" s="956"/>
      <c r="H23" s="162"/>
      <c r="I23" s="336"/>
      <c r="J23" s="336"/>
      <c r="K23" s="336"/>
      <c r="L23" s="162"/>
      <c r="M23" s="162"/>
      <c r="N23" s="162"/>
      <c r="O23" s="162"/>
      <c r="P23" s="162"/>
      <c r="Q23" s="162"/>
      <c r="R23" s="162"/>
      <c r="S23" s="162"/>
      <c r="T23" s="162"/>
      <c r="U23" s="162"/>
      <c r="V23" s="162"/>
      <c r="W23" s="162"/>
      <c r="X23" s="162"/>
      <c r="Y23" s="162"/>
      <c r="Z23" s="162"/>
      <c r="AA23" s="162"/>
      <c r="AB23" s="162"/>
      <c r="AC23" s="162"/>
      <c r="AD23" s="162"/>
      <c r="AE23" s="162"/>
      <c r="AF23" s="162"/>
    </row>
    <row r="24" spans="1:32">
      <c r="A24" s="65"/>
      <c r="B24" s="29"/>
      <c r="C24" s="179"/>
      <c r="D24" s="175"/>
      <c r="E24" s="953" t="str">
        <f>IF(D24="","",VLOOKUP(D24,DropDown!$R$2:$S$28,2,FALSE))</f>
        <v/>
      </c>
      <c r="F24" s="179"/>
      <c r="G24" s="956"/>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row>
    <row r="25" spans="1:32">
      <c r="A25" s="65"/>
      <c r="B25" s="29"/>
      <c r="C25" s="179"/>
      <c r="D25" s="175"/>
      <c r="E25" s="953" t="str">
        <f>IF(D25="","",VLOOKUP(D25,DropDown!$R$2:$S$28,2,FALSE))</f>
        <v/>
      </c>
      <c r="F25" s="179"/>
      <c r="G25" s="956"/>
      <c r="H25" s="162"/>
      <c r="I25" s="336"/>
      <c r="J25" s="336"/>
      <c r="K25" s="336"/>
      <c r="L25" s="162"/>
      <c r="M25" s="162"/>
      <c r="N25" s="162"/>
      <c r="O25" s="162"/>
      <c r="P25" s="162"/>
      <c r="Q25" s="162"/>
      <c r="R25" s="162"/>
      <c r="S25" s="162"/>
      <c r="T25" s="162"/>
      <c r="U25" s="162"/>
      <c r="V25" s="162"/>
      <c r="W25" s="162"/>
      <c r="X25" s="162"/>
      <c r="Y25" s="162"/>
      <c r="Z25" s="162"/>
      <c r="AA25" s="162"/>
      <c r="AB25" s="162"/>
      <c r="AC25" s="162"/>
      <c r="AD25" s="162"/>
      <c r="AE25" s="162"/>
      <c r="AF25" s="162"/>
    </row>
    <row r="26" spans="1:32">
      <c r="A26" s="65"/>
      <c r="B26" s="29"/>
      <c r="C26" s="179"/>
      <c r="D26" s="175"/>
      <c r="E26" s="953" t="str">
        <f>IF(D26="","",VLOOKUP(D26,DropDown!$R$2:$S$28,2,FALSE))</f>
        <v/>
      </c>
      <c r="F26" s="179"/>
      <c r="G26" s="956"/>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row>
    <row r="27" spans="1:32">
      <c r="A27" s="65"/>
      <c r="B27" s="29"/>
      <c r="C27" s="179"/>
      <c r="D27" s="175"/>
      <c r="E27" s="953" t="str">
        <f>IF(D27="","",VLOOKUP(D27,DropDown!$R$2:$S$28,2,FALSE))</f>
        <v/>
      </c>
      <c r="F27" s="179"/>
      <c r="G27" s="956"/>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row>
    <row r="28" spans="1:32">
      <c r="A28" s="65"/>
      <c r="B28" s="29"/>
      <c r="C28" s="179"/>
      <c r="D28" s="175"/>
      <c r="E28" s="953" t="str">
        <f>IF(D28="","",VLOOKUP(D28,DropDown!$R$2:$S$28,2,FALSE))</f>
        <v/>
      </c>
      <c r="F28" s="179"/>
      <c r="G28" s="956"/>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row>
    <row r="29" spans="1:32">
      <c r="A29" s="65"/>
      <c r="B29" s="29"/>
      <c r="C29" s="179"/>
      <c r="D29" s="175"/>
      <c r="E29" s="953" t="str">
        <f>IF(D29="","",VLOOKUP(D29,DropDown!$R$2:$S$28,2,FALSE))</f>
        <v/>
      </c>
      <c r="F29" s="179"/>
      <c r="G29" s="956"/>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row>
    <row r="30" spans="1:32">
      <c r="A30" s="65"/>
      <c r="B30" s="29"/>
      <c r="C30" s="179"/>
      <c r="D30" s="175"/>
      <c r="E30" s="953" t="str">
        <f>IF(D30="","",VLOOKUP(D30,DropDown!$R$2:$S$28,2,FALSE))</f>
        <v/>
      </c>
      <c r="F30" s="179"/>
      <c r="G30" s="956"/>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row>
    <row r="31" spans="1:32">
      <c r="A31" s="65"/>
      <c r="B31" s="29"/>
      <c r="C31" s="179"/>
      <c r="D31" s="175"/>
      <c r="E31" s="953" t="str">
        <f>IF(D31="","",VLOOKUP(D31,DropDown!$R$2:$S$28,2,FALSE))</f>
        <v/>
      </c>
      <c r="F31" s="179"/>
      <c r="G31" s="956"/>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row>
    <row r="32" spans="1:32">
      <c r="A32" s="65"/>
      <c r="B32" s="29"/>
      <c r="C32" s="488"/>
      <c r="D32" s="175"/>
      <c r="E32" s="953" t="str">
        <f>IF(D32="","",VLOOKUP(D32,DropDown!$R$2:$S$28,2,FALSE))</f>
        <v/>
      </c>
      <c r="F32" s="179"/>
      <c r="G32" s="956"/>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row>
    <row r="33" spans="1:32">
      <c r="A33" s="65"/>
      <c r="B33" s="29"/>
      <c r="C33" s="179"/>
      <c r="D33" s="175"/>
      <c r="E33" s="953" t="str">
        <f>IF(D33="","",VLOOKUP(D33,DropDown!$R$2:$S$28,2,FALSE))</f>
        <v/>
      </c>
      <c r="F33" s="179"/>
      <c r="G33" s="88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row>
    <row r="34" spans="1:32">
      <c r="A34" s="65"/>
      <c r="B34" s="29"/>
      <c r="C34" s="179"/>
      <c r="D34" s="175"/>
      <c r="E34" s="953" t="str">
        <f>IF(D34="","",VLOOKUP(D34,DropDown!$R$2:$S$28,2,FALSE))</f>
        <v/>
      </c>
      <c r="F34" s="179"/>
      <c r="G34" s="956"/>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row>
    <row r="35" spans="1:32">
      <c r="A35" s="65"/>
      <c r="B35" s="29"/>
      <c r="C35" s="179"/>
      <c r="D35" s="175"/>
      <c r="E35" s="953" t="str">
        <f>IF(D35="","",VLOOKUP(D35,DropDown!$R$2:$S$28,2,FALSE))</f>
        <v/>
      </c>
      <c r="F35" s="179"/>
      <c r="G35" s="956"/>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row>
    <row r="36" spans="1:32">
      <c r="A36" s="65"/>
      <c r="B36" s="29"/>
      <c r="C36" s="179"/>
      <c r="D36" s="175"/>
      <c r="E36" s="953" t="str">
        <f>IF(D36="","",VLOOKUP(D36,DropDown!$R$2:$S$28,2,FALSE))</f>
        <v/>
      </c>
      <c r="F36" s="179"/>
      <c r="G36" s="956"/>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row>
    <row r="37" spans="1:32">
      <c r="A37" s="65"/>
      <c r="B37" s="29"/>
      <c r="C37" s="179"/>
      <c r="D37" s="175"/>
      <c r="E37" s="953" t="str">
        <f>IF(D37="","",VLOOKUP(D37,DropDown!$R$2:$S$28,2,FALSE))</f>
        <v/>
      </c>
      <c r="F37" s="179"/>
      <c r="G37" s="956"/>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row>
    <row r="38" spans="1:32">
      <c r="A38" s="65"/>
      <c r="B38" s="29"/>
      <c r="C38" s="179"/>
      <c r="D38" s="175"/>
      <c r="E38" s="953" t="str">
        <f>IF(D38="","",VLOOKUP(D38,DropDown!$R$2:$S$28,2,FALSE))</f>
        <v/>
      </c>
      <c r="F38" s="179"/>
      <c r="G38" s="956"/>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row>
    <row r="39" spans="1:32">
      <c r="A39" s="65"/>
      <c r="B39" s="29"/>
      <c r="C39" s="179"/>
      <c r="D39" s="175"/>
      <c r="E39" s="953" t="str">
        <f>IF(D39="","",VLOOKUP(D39,DropDown!$R$2:$S$28,2,FALSE))</f>
        <v/>
      </c>
      <c r="F39" s="179"/>
      <c r="G39" s="956"/>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row>
    <row r="40" spans="1:32">
      <c r="A40" s="65"/>
      <c r="B40" s="29"/>
      <c r="C40" s="179"/>
      <c r="D40" s="175"/>
      <c r="E40" s="953" t="str">
        <f>IF(D40="","",VLOOKUP(D40,DropDown!$R$2:$S$28,2,FALSE))</f>
        <v/>
      </c>
      <c r="F40" s="179"/>
      <c r="G40" s="956"/>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row>
    <row r="41" spans="1:32">
      <c r="A41" s="65"/>
      <c r="B41" s="29"/>
      <c r="C41" s="179"/>
      <c r="D41" s="175"/>
      <c r="E41" s="953" t="str">
        <f>IF(D41="","",VLOOKUP(D41,DropDown!$R$2:$S$28,2,FALSE))</f>
        <v/>
      </c>
      <c r="F41" s="179"/>
      <c r="G41" s="956"/>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row>
    <row r="42" spans="1:32">
      <c r="A42" s="65"/>
      <c r="B42" s="29"/>
      <c r="C42" s="179"/>
      <c r="D42" s="175"/>
      <c r="E42" s="953" t="str">
        <f>IF(D42="","",VLOOKUP(D42,DropDown!$R$2:$S$28,2,FALSE))</f>
        <v/>
      </c>
      <c r="F42" s="179"/>
      <c r="G42" s="956"/>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row>
    <row r="43" spans="1:32">
      <c r="A43" s="65"/>
      <c r="B43" s="29"/>
      <c r="C43" s="179"/>
      <c r="D43" s="175"/>
      <c r="E43" s="953" t="str">
        <f>IF(D43="","",VLOOKUP(D43,DropDown!$R$2:$S$28,2,FALSE))</f>
        <v/>
      </c>
      <c r="F43" s="73"/>
      <c r="G43" s="956"/>
      <c r="H43" s="162"/>
      <c r="I43" s="162"/>
      <c r="J43" s="162"/>
      <c r="K43" s="162"/>
      <c r="L43" s="162"/>
      <c r="M43" s="162"/>
      <c r="N43" s="162"/>
      <c r="O43" s="162"/>
      <c r="P43" s="162"/>
      <c r="Q43" s="162"/>
      <c r="R43" s="162"/>
      <c r="S43" s="162"/>
      <c r="T43" s="162"/>
      <c r="U43" s="162"/>
      <c r="V43" s="162" t="str">
        <f>IF(D43="","",VLOOKUP(D43,DropDown!$R$2:$S$12,2,FALSE))</f>
        <v/>
      </c>
      <c r="W43" s="162"/>
      <c r="X43" s="162"/>
      <c r="Y43" s="162"/>
      <c r="Z43" s="162"/>
      <c r="AA43" s="162"/>
      <c r="AB43" s="162"/>
      <c r="AC43" s="162"/>
      <c r="AD43" s="162"/>
      <c r="AE43" s="162"/>
      <c r="AF43" s="162"/>
    </row>
    <row r="44" spans="1:32">
      <c r="A44" s="65"/>
      <c r="B44" s="29"/>
      <c r="C44" s="179"/>
      <c r="D44" s="175"/>
      <c r="E44" s="953" t="str">
        <f>IF(D44="","",VLOOKUP(D44,DropDown!$R$2:$S$28,2,FALSE))</f>
        <v/>
      </c>
      <c r="F44" s="73"/>
      <c r="G44" s="956"/>
      <c r="H44" s="162"/>
      <c r="I44" s="162"/>
      <c r="J44" s="162"/>
      <c r="K44" s="162"/>
      <c r="L44" s="162"/>
      <c r="M44" s="162"/>
      <c r="N44" s="162"/>
      <c r="O44" s="162"/>
      <c r="P44" s="162"/>
      <c r="Q44" s="162"/>
      <c r="R44" s="162"/>
      <c r="S44" s="162"/>
      <c r="T44" s="162"/>
      <c r="U44" s="162"/>
      <c r="V44" s="162" t="str">
        <f>IF(D44="","",VLOOKUP(D44,DropDown!$R$2:$S$12,2,FALSE))</f>
        <v/>
      </c>
      <c r="W44" s="162"/>
      <c r="X44" s="162"/>
      <c r="Y44" s="162"/>
      <c r="Z44" s="162"/>
      <c r="AA44" s="162"/>
      <c r="AB44" s="162"/>
      <c r="AC44" s="162"/>
      <c r="AD44" s="162"/>
      <c r="AE44" s="162"/>
      <c r="AF44" s="162"/>
    </row>
    <row r="45" spans="1:32">
      <c r="A45" s="65"/>
      <c r="B45" s="29"/>
      <c r="C45" s="179"/>
      <c r="D45" s="175"/>
      <c r="E45" s="953" t="str">
        <f>IF(D45="","",VLOOKUP(D45,DropDown!$R$2:$S$28,2,FALSE))</f>
        <v/>
      </c>
      <c r="F45" s="73"/>
      <c r="G45" s="956"/>
      <c r="H45" s="162"/>
      <c r="I45" s="162"/>
      <c r="J45" s="162"/>
      <c r="K45" s="162"/>
      <c r="L45" s="162"/>
      <c r="M45" s="162"/>
      <c r="N45" s="162"/>
      <c r="O45" s="162"/>
      <c r="P45" s="162"/>
      <c r="Q45" s="162"/>
      <c r="R45" s="162"/>
      <c r="S45" s="162"/>
      <c r="T45" s="162"/>
      <c r="U45" s="162"/>
      <c r="V45" s="162" t="str">
        <f>IF(D45="","",VLOOKUP(D45,DropDown!$R$2:$S$12,2,FALSE))</f>
        <v/>
      </c>
      <c r="W45" s="162"/>
      <c r="X45" s="162"/>
      <c r="Y45" s="162"/>
      <c r="Z45" s="162"/>
      <c r="AA45" s="162"/>
      <c r="AB45" s="162"/>
      <c r="AC45" s="162"/>
      <c r="AD45" s="162"/>
      <c r="AE45" s="162"/>
      <c r="AF45" s="162"/>
    </row>
    <row r="46" spans="1:32">
      <c r="A46" s="65"/>
      <c r="B46" s="29"/>
      <c r="C46" s="179"/>
      <c r="D46" s="175"/>
      <c r="E46" s="953" t="str">
        <f>IF(D46="","",VLOOKUP(D46,DropDown!$R$2:$S$28,2,FALSE))</f>
        <v/>
      </c>
      <c r="F46" s="73"/>
      <c r="G46" s="956"/>
      <c r="H46" s="162"/>
      <c r="I46" s="162"/>
      <c r="J46" s="162"/>
      <c r="K46" s="162"/>
      <c r="L46" s="162"/>
      <c r="M46" s="162"/>
      <c r="N46" s="162"/>
      <c r="O46" s="162"/>
      <c r="P46" s="162"/>
      <c r="Q46" s="162"/>
      <c r="R46" s="162"/>
      <c r="S46" s="162"/>
      <c r="T46" s="162"/>
      <c r="U46" s="162"/>
      <c r="V46" s="162" t="str">
        <f>IF(D46="","",VLOOKUP(D46,DropDown!$R$2:$S$12,2,FALSE))</f>
        <v/>
      </c>
      <c r="W46" s="162"/>
      <c r="X46" s="162"/>
      <c r="Y46" s="162"/>
      <c r="Z46" s="162"/>
      <c r="AA46" s="162"/>
      <c r="AB46" s="162"/>
      <c r="AC46" s="162"/>
      <c r="AD46" s="162"/>
      <c r="AE46" s="162"/>
      <c r="AF46" s="162"/>
    </row>
    <row r="47" spans="1:32">
      <c r="A47" s="65"/>
      <c r="B47" s="29"/>
      <c r="C47" s="179"/>
      <c r="D47" s="175"/>
      <c r="E47" s="953" t="str">
        <f>IF(D47="","",VLOOKUP(D47,DropDown!$R$2:$S$28,2,FALSE))</f>
        <v/>
      </c>
      <c r="F47" s="73"/>
      <c r="G47" s="956"/>
      <c r="H47" s="162"/>
      <c r="I47" s="162"/>
      <c r="J47" s="162"/>
      <c r="K47" s="162"/>
      <c r="L47" s="162"/>
      <c r="M47" s="162"/>
      <c r="N47" s="162"/>
      <c r="O47" s="162"/>
      <c r="P47" s="162"/>
      <c r="Q47" s="162"/>
      <c r="R47" s="162"/>
      <c r="S47" s="162"/>
      <c r="T47" s="162"/>
      <c r="U47" s="162"/>
      <c r="V47" s="162" t="str">
        <f>IF(D47="","",VLOOKUP(D47,DropDown!$R$2:$S$12,2,FALSE))</f>
        <v/>
      </c>
      <c r="W47" s="162"/>
      <c r="X47" s="162"/>
      <c r="Y47" s="162"/>
      <c r="Z47" s="162"/>
      <c r="AA47" s="162"/>
      <c r="AB47" s="162"/>
      <c r="AC47" s="162"/>
      <c r="AD47" s="162"/>
      <c r="AE47" s="162"/>
      <c r="AF47" s="162"/>
    </row>
    <row r="48" spans="1:32">
      <c r="A48" s="65"/>
      <c r="B48" s="29"/>
      <c r="C48" s="179"/>
      <c r="D48" s="175"/>
      <c r="E48" s="953" t="str">
        <f>IF(D48="","",VLOOKUP(D48,DropDown!$R$2:$S$28,2,FALSE))</f>
        <v/>
      </c>
      <c r="F48" s="73"/>
      <c r="G48" s="956"/>
      <c r="H48" s="162"/>
      <c r="I48" s="162"/>
      <c r="J48" s="162"/>
      <c r="K48" s="162"/>
      <c r="L48" s="162"/>
      <c r="M48" s="162"/>
      <c r="N48" s="162"/>
      <c r="O48" s="162"/>
      <c r="P48" s="162"/>
      <c r="Q48" s="162"/>
      <c r="R48" s="162"/>
      <c r="S48" s="162"/>
      <c r="T48" s="162"/>
      <c r="U48" s="162"/>
      <c r="V48" s="162" t="str">
        <f>IF(D48="","",VLOOKUP(D48,DropDown!$R$2:$S$12,2,FALSE))</f>
        <v/>
      </c>
      <c r="W48" s="162"/>
      <c r="X48" s="162"/>
      <c r="Y48" s="162"/>
      <c r="Z48" s="162"/>
      <c r="AA48" s="162"/>
      <c r="AB48" s="162"/>
      <c r="AC48" s="162"/>
      <c r="AD48" s="162"/>
      <c r="AE48" s="162"/>
      <c r="AF48" s="162"/>
    </row>
    <row r="49" spans="1:32">
      <c r="A49" s="65"/>
      <c r="B49" s="29"/>
      <c r="C49" s="179"/>
      <c r="D49" s="175"/>
      <c r="E49" s="953" t="str">
        <f>IF(D49="","",VLOOKUP(D49,DropDown!$R$2:$S$28,2,FALSE))</f>
        <v/>
      </c>
      <c r="F49" s="73"/>
      <c r="G49" s="956"/>
      <c r="H49" s="162"/>
      <c r="I49" s="162"/>
      <c r="J49" s="162"/>
      <c r="K49" s="162"/>
      <c r="L49" s="162"/>
      <c r="M49" s="162"/>
      <c r="N49" s="162"/>
      <c r="O49" s="162"/>
      <c r="P49" s="162"/>
      <c r="Q49" s="162"/>
      <c r="R49" s="162"/>
      <c r="S49" s="162"/>
      <c r="T49" s="162"/>
      <c r="U49" s="162"/>
      <c r="V49" s="162" t="str">
        <f>IF(D49="","",VLOOKUP(D49,DropDown!$R$2:$S$12,2,FALSE))</f>
        <v/>
      </c>
      <c r="W49" s="162"/>
      <c r="X49" s="162"/>
      <c r="Y49" s="162"/>
      <c r="Z49" s="162"/>
      <c r="AA49" s="162"/>
      <c r="AB49" s="162"/>
      <c r="AC49" s="162"/>
      <c r="AD49" s="162"/>
      <c r="AE49" s="162"/>
      <c r="AF49" s="162"/>
    </row>
    <row r="50" spans="1:32">
      <c r="A50" s="65"/>
      <c r="B50" s="29"/>
      <c r="C50" s="179"/>
      <c r="D50" s="175"/>
      <c r="E50" s="953" t="str">
        <f>IF(D50="","",VLOOKUP(D50,DropDown!$R$2:$S$28,2,FALSE))</f>
        <v/>
      </c>
      <c r="F50" s="73"/>
      <c r="G50" s="956"/>
      <c r="H50" s="162"/>
      <c r="I50" s="162"/>
      <c r="J50" s="162"/>
      <c r="K50" s="162"/>
      <c r="L50" s="162"/>
      <c r="M50" s="162"/>
      <c r="N50" s="162"/>
      <c r="O50" s="162"/>
      <c r="P50" s="162"/>
      <c r="Q50" s="162"/>
      <c r="R50" s="162"/>
      <c r="S50" s="162"/>
      <c r="T50" s="162"/>
      <c r="U50" s="162"/>
      <c r="V50" s="162" t="str">
        <f>IF(D50="","",VLOOKUP(D50,DropDown!$R$2:$S$12,2,FALSE))</f>
        <v/>
      </c>
      <c r="W50" s="162"/>
      <c r="X50" s="162"/>
      <c r="Y50" s="162"/>
      <c r="Z50" s="162"/>
      <c r="AA50" s="162"/>
      <c r="AB50" s="162"/>
      <c r="AC50" s="162"/>
      <c r="AD50" s="162"/>
      <c r="AE50" s="162"/>
      <c r="AF50" s="162"/>
    </row>
    <row r="51" spans="1:32">
      <c r="A51" s="65"/>
      <c r="B51" s="29"/>
      <c r="C51" s="179"/>
      <c r="D51" s="175"/>
      <c r="E51" s="953" t="str">
        <f>IF(D51="","",VLOOKUP(D51,DropDown!$R$2:$S$28,2,FALSE))</f>
        <v/>
      </c>
      <c r="F51" s="73"/>
      <c r="G51" s="956"/>
      <c r="H51" s="162"/>
      <c r="I51" s="162"/>
      <c r="J51" s="162"/>
      <c r="K51" s="162"/>
      <c r="L51" s="162"/>
      <c r="M51" s="162"/>
      <c r="N51" s="162"/>
      <c r="O51" s="162"/>
      <c r="P51" s="162"/>
      <c r="Q51" s="162"/>
      <c r="R51" s="162"/>
      <c r="S51" s="162"/>
      <c r="T51" s="162"/>
      <c r="U51" s="162"/>
      <c r="V51" s="162" t="str">
        <f>IF(D51="","",VLOOKUP(D51,DropDown!$R$2:$S$12,2,FALSE))</f>
        <v/>
      </c>
      <c r="W51" s="162"/>
      <c r="X51" s="162"/>
      <c r="Y51" s="162"/>
      <c r="Z51" s="162"/>
      <c r="AA51" s="162"/>
      <c r="AB51" s="162"/>
      <c r="AC51" s="162"/>
      <c r="AD51" s="162"/>
      <c r="AE51" s="162"/>
      <c r="AF51" s="162"/>
    </row>
    <row r="52" spans="1:32">
      <c r="A52" s="65"/>
      <c r="B52" s="29"/>
      <c r="C52" s="179"/>
      <c r="D52" s="175"/>
      <c r="E52" s="953" t="str">
        <f>IF(D52="","",VLOOKUP(D52,DropDown!$R$2:$S$28,2,FALSE))</f>
        <v/>
      </c>
      <c r="F52" s="73"/>
      <c r="G52" s="956"/>
      <c r="H52" s="162"/>
      <c r="I52" s="162"/>
      <c r="J52" s="162"/>
      <c r="K52" s="162"/>
      <c r="L52" s="162"/>
      <c r="M52" s="162"/>
      <c r="N52" s="162"/>
      <c r="O52" s="162"/>
      <c r="P52" s="162"/>
      <c r="Q52" s="162"/>
      <c r="R52" s="162"/>
      <c r="S52" s="162"/>
      <c r="T52" s="162"/>
      <c r="U52" s="162"/>
      <c r="V52" s="162" t="str">
        <f>IF(D52="","",VLOOKUP(D52,DropDown!$R$2:$S$12,2,FALSE))</f>
        <v/>
      </c>
      <c r="W52" s="162"/>
      <c r="X52" s="162"/>
      <c r="Y52" s="162"/>
      <c r="Z52" s="162"/>
      <c r="AA52" s="162"/>
      <c r="AB52" s="162"/>
      <c r="AC52" s="162"/>
      <c r="AD52" s="162"/>
      <c r="AE52" s="162"/>
      <c r="AF52" s="162"/>
    </row>
    <row r="53" spans="1:32">
      <c r="A53" s="65"/>
      <c r="B53" s="29"/>
      <c r="C53" s="179"/>
      <c r="D53" s="175"/>
      <c r="E53" s="953" t="str">
        <f>IF(D53="","",VLOOKUP(D53,DropDown!$R$2:$S$28,2,FALSE))</f>
        <v/>
      </c>
      <c r="F53" s="73"/>
      <c r="G53" s="956"/>
      <c r="H53" s="162"/>
      <c r="I53" s="162"/>
      <c r="J53" s="162"/>
      <c r="K53" s="162"/>
      <c r="L53" s="162"/>
      <c r="M53" s="162"/>
      <c r="N53" s="162"/>
      <c r="O53" s="162"/>
      <c r="P53" s="162"/>
      <c r="Q53" s="162"/>
      <c r="R53" s="162"/>
      <c r="S53" s="162"/>
      <c r="T53" s="162"/>
      <c r="U53" s="162"/>
      <c r="V53" s="162" t="str">
        <f>IF(D53="","",VLOOKUP(D53,DropDown!$R$2:$S$12,2,FALSE))</f>
        <v/>
      </c>
      <c r="W53" s="162"/>
      <c r="X53" s="162"/>
      <c r="Y53" s="162"/>
      <c r="Z53" s="162"/>
      <c r="AA53" s="162"/>
      <c r="AB53" s="162"/>
      <c r="AC53" s="162"/>
      <c r="AD53" s="162"/>
      <c r="AE53" s="162"/>
      <c r="AF53" s="162"/>
    </row>
    <row r="54" spans="1:32">
      <c r="A54" s="65"/>
      <c r="B54" s="29"/>
      <c r="C54" s="179"/>
      <c r="D54" s="175"/>
      <c r="E54" s="953" t="str">
        <f>IF(D54="","",VLOOKUP(D54,DropDown!$R$2:$S$28,2,FALSE))</f>
        <v/>
      </c>
      <c r="F54" s="73"/>
      <c r="G54" s="956"/>
      <c r="H54" s="162"/>
      <c r="I54" s="162"/>
      <c r="J54" s="162"/>
      <c r="K54" s="162"/>
      <c r="L54" s="162"/>
      <c r="M54" s="162"/>
      <c r="N54" s="162"/>
      <c r="O54" s="162"/>
      <c r="P54" s="162"/>
      <c r="Q54" s="162"/>
      <c r="R54" s="162"/>
      <c r="S54" s="162"/>
      <c r="T54" s="162"/>
      <c r="U54" s="162"/>
      <c r="V54" s="162" t="str">
        <f>IF(D54="","",VLOOKUP(D54,DropDown!$R$2:$S$12,2,FALSE))</f>
        <v/>
      </c>
      <c r="W54" s="162"/>
      <c r="X54" s="162"/>
      <c r="Y54" s="162"/>
      <c r="Z54" s="162"/>
      <c r="AA54" s="162"/>
      <c r="AB54" s="162"/>
      <c r="AC54" s="162"/>
      <c r="AD54" s="162"/>
      <c r="AE54" s="162"/>
      <c r="AF54" s="162"/>
    </row>
    <row r="55" spans="1:32">
      <c r="A55" s="65"/>
      <c r="B55" s="29"/>
      <c r="C55" s="179"/>
      <c r="D55" s="175"/>
      <c r="E55" s="953" t="str">
        <f>IF(D55="","",VLOOKUP(D55,DropDown!$R$2:$S$28,2,FALSE))</f>
        <v/>
      </c>
      <c r="F55" s="73"/>
      <c r="G55" s="956"/>
      <c r="H55" s="162"/>
      <c r="I55" s="162"/>
      <c r="J55" s="162"/>
      <c r="K55" s="162"/>
      <c r="L55" s="162"/>
      <c r="M55" s="162"/>
      <c r="N55" s="162"/>
      <c r="O55" s="162"/>
      <c r="P55" s="162"/>
      <c r="Q55" s="162"/>
      <c r="R55" s="162"/>
      <c r="S55" s="162"/>
      <c r="T55" s="162"/>
      <c r="U55" s="162"/>
      <c r="V55" s="162" t="str">
        <f>IF(D55="","",VLOOKUP(D55,DropDown!$R$2:$S$12,2,FALSE))</f>
        <v/>
      </c>
      <c r="W55" s="162"/>
      <c r="X55" s="162"/>
      <c r="Y55" s="162"/>
      <c r="Z55" s="162"/>
      <c r="AA55" s="162"/>
      <c r="AB55" s="162"/>
      <c r="AC55" s="162"/>
      <c r="AD55" s="162"/>
      <c r="AE55" s="162"/>
      <c r="AF55" s="162"/>
    </row>
    <row r="56" spans="1:32">
      <c r="A56" s="65"/>
      <c r="B56" s="29"/>
      <c r="C56" s="179"/>
      <c r="D56" s="175"/>
      <c r="E56" s="953" t="str">
        <f>IF(D56="","",VLOOKUP(D56,DropDown!$R$2:$S$28,2,FALSE))</f>
        <v/>
      </c>
      <c r="F56" s="73"/>
      <c r="G56" s="956"/>
      <c r="H56" s="162"/>
      <c r="I56" s="162"/>
      <c r="J56" s="162"/>
      <c r="K56" s="162"/>
      <c r="L56" s="162"/>
      <c r="M56" s="162"/>
      <c r="N56" s="162"/>
      <c r="O56" s="162"/>
      <c r="P56" s="162"/>
      <c r="Q56" s="162"/>
      <c r="R56" s="162"/>
      <c r="S56" s="162"/>
      <c r="T56" s="162"/>
      <c r="U56" s="162"/>
      <c r="V56" s="162" t="str">
        <f>IF(D56="","",VLOOKUP(D56,DropDown!$R$2:$S$12,2,FALSE))</f>
        <v/>
      </c>
      <c r="W56" s="162"/>
      <c r="X56" s="162"/>
      <c r="Y56" s="162"/>
      <c r="Z56" s="162"/>
      <c r="AA56" s="162"/>
      <c r="AB56" s="162"/>
      <c r="AC56" s="162"/>
      <c r="AD56" s="162"/>
      <c r="AE56" s="162"/>
      <c r="AF56" s="162"/>
    </row>
    <row r="57" spans="1:32">
      <c r="A57" s="65"/>
      <c r="B57" s="29"/>
      <c r="C57" s="179"/>
      <c r="D57" s="175"/>
      <c r="E57" s="953" t="str">
        <f>IF(D57="","",VLOOKUP(D57,DropDown!$R$2:$S$28,2,FALSE))</f>
        <v/>
      </c>
      <c r="F57" s="73"/>
      <c r="G57" s="956"/>
      <c r="H57" s="162"/>
      <c r="I57" s="162"/>
      <c r="J57" s="162"/>
      <c r="K57" s="162"/>
      <c r="L57" s="162"/>
      <c r="M57" s="162"/>
      <c r="N57" s="162"/>
      <c r="O57" s="162"/>
      <c r="P57" s="162"/>
      <c r="Q57" s="162"/>
      <c r="R57" s="162"/>
      <c r="S57" s="162"/>
      <c r="T57" s="162"/>
      <c r="U57" s="162"/>
      <c r="V57" s="162" t="str">
        <f>IF(D57="","",VLOOKUP(D57,DropDown!$R$2:$S$12,2,FALSE))</f>
        <v/>
      </c>
      <c r="W57" s="162"/>
      <c r="X57" s="162"/>
      <c r="Y57" s="162"/>
      <c r="Z57" s="162"/>
      <c r="AA57" s="162"/>
      <c r="AB57" s="162"/>
      <c r="AC57" s="162"/>
      <c r="AD57" s="162"/>
      <c r="AE57" s="162"/>
      <c r="AF57" s="162"/>
    </row>
    <row r="58" spans="1:32" ht="13.5" thickBot="1">
      <c r="A58" s="66"/>
      <c r="B58" s="67"/>
      <c r="C58" s="483"/>
      <c r="D58" s="951"/>
      <c r="E58" s="954" t="str">
        <f>IF(D58="","",VLOOKUP(D58,DropDown!$R$2:$S$28,2,FALSE))</f>
        <v/>
      </c>
      <c r="F58" s="74"/>
      <c r="G58" s="957"/>
      <c r="H58" s="162"/>
      <c r="I58" s="162"/>
      <c r="J58" s="162"/>
      <c r="K58" s="162"/>
      <c r="L58" s="162"/>
      <c r="M58" s="162"/>
      <c r="N58" s="162"/>
      <c r="O58" s="162"/>
      <c r="P58" s="162"/>
      <c r="Q58" s="162"/>
      <c r="R58" s="162"/>
      <c r="S58" s="162"/>
      <c r="T58" s="162"/>
      <c r="U58" s="162"/>
      <c r="V58" s="162" t="str">
        <f>IF(D58="","",VLOOKUP(D58,DropDown!$R$2:$S$12,2,FALSE))</f>
        <v/>
      </c>
      <c r="W58" s="162"/>
      <c r="X58" s="162"/>
      <c r="Y58" s="162"/>
      <c r="Z58" s="162"/>
      <c r="AA58" s="162"/>
      <c r="AB58" s="162"/>
      <c r="AC58" s="162"/>
      <c r="AD58" s="162"/>
      <c r="AE58" s="162"/>
      <c r="AF58" s="162"/>
    </row>
    <row r="59" spans="1:32">
      <c r="A59" s="4"/>
      <c r="B59" s="7"/>
      <c r="C59" s="9"/>
      <c r="D59" s="4"/>
      <c r="E59" s="4"/>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row>
    <row r="60" spans="1:32">
      <c r="A60" s="251" t="s">
        <v>316</v>
      </c>
      <c r="B60" s="251"/>
      <c r="C60" s="251"/>
      <c r="D60" s="251"/>
      <c r="E60" s="251"/>
      <c r="F60" s="251"/>
      <c r="G60" s="251"/>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row>
    <row r="61" spans="1:32">
      <c r="A61" s="4"/>
      <c r="B61" s="7"/>
      <c r="C61" s="9"/>
      <c r="D61" s="4"/>
      <c r="E61" s="4"/>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row>
    <row r="62" spans="1:32" ht="13.5" thickBot="1">
      <c r="A62" s="7" t="s">
        <v>991</v>
      </c>
      <c r="B62" s="4"/>
      <c r="C62" s="4"/>
      <c r="D62" s="4"/>
      <c r="E62" s="4"/>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row>
    <row r="63" spans="1:32">
      <c r="A63" s="1196" t="s">
        <v>161</v>
      </c>
      <c r="B63" s="1197"/>
      <c r="C63" s="13" t="s">
        <v>155</v>
      </c>
      <c r="D63" s="1187" t="s">
        <v>159</v>
      </c>
      <c r="E63" s="4"/>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row>
    <row r="64" spans="1:32" ht="13.5" thickBot="1">
      <c r="A64" s="1198"/>
      <c r="B64" s="1199"/>
      <c r="C64" s="16" t="s">
        <v>158</v>
      </c>
      <c r="D64" s="1188"/>
      <c r="E64" s="4"/>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row>
    <row r="65" spans="1:30" ht="13.5" thickBot="1">
      <c r="A65" s="968" t="s">
        <v>1349</v>
      </c>
      <c r="B65" s="969"/>
      <c r="C65" s="969"/>
      <c r="D65" s="970"/>
      <c r="E65" s="4"/>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row>
    <row r="66" spans="1:30" s="18" customFormat="1">
      <c r="A66" s="57" t="s">
        <v>162</v>
      </c>
      <c r="B66" s="58"/>
      <c r="C66" s="944">
        <f>SUMIFS($F$16:$F$58,$D$16:$D$58,$A66,$G$16:$G$58,D66)+(SUMIFS($F$16:$F$58,$D$16:$D$58,$A66,$G$16:$G$58,"MMBtu")*(VLOOKUP(A66,'Heat Content'!$A$14:$E$40,4,0)))</f>
        <v>0</v>
      </c>
      <c r="D66" s="967" t="s">
        <v>243</v>
      </c>
      <c r="E66" s="946"/>
      <c r="F66" s="335"/>
      <c r="G66" s="335"/>
      <c r="H66" s="335"/>
      <c r="I66" s="335"/>
      <c r="J66" s="335"/>
      <c r="K66" s="335"/>
      <c r="L66" s="335"/>
      <c r="M66" s="335"/>
      <c r="N66" s="335"/>
      <c r="O66" s="335"/>
      <c r="P66" s="335"/>
      <c r="Q66" s="335"/>
      <c r="R66" s="335"/>
      <c r="S66" s="335"/>
      <c r="T66" s="335"/>
      <c r="U66" s="335"/>
      <c r="V66" s="335"/>
      <c r="W66" s="335"/>
      <c r="X66" s="335"/>
      <c r="Y66" s="335"/>
      <c r="Z66" s="335"/>
      <c r="AA66" s="335"/>
      <c r="AB66" s="335"/>
      <c r="AC66" s="335"/>
      <c r="AD66" s="335"/>
    </row>
    <row r="67" spans="1:30" s="18" customFormat="1">
      <c r="A67" s="46" t="s">
        <v>163</v>
      </c>
      <c r="B67" s="59"/>
      <c r="C67" s="48">
        <f>SUMIFS($F$16:$F$58,$D$16:$D$58,$A67,$G$16:$G$58,D67)+(SUMIFS($F$16:$F$58,$D$16:$D$58,$A67,$G$16:$G$58,"MMBtu")*(VLOOKUP(A67,'Heat Content'!$A$14:$E$40,4,0)))</f>
        <v>0</v>
      </c>
      <c r="D67" s="60" t="s">
        <v>243</v>
      </c>
      <c r="E67" s="71"/>
      <c r="F67" s="335"/>
      <c r="G67" s="335"/>
      <c r="H67" s="335"/>
      <c r="I67" s="335"/>
      <c r="J67" s="335"/>
      <c r="K67" s="335"/>
      <c r="L67" s="335"/>
      <c r="M67" s="335"/>
      <c r="N67" s="335"/>
      <c r="O67" s="335"/>
      <c r="P67" s="335"/>
      <c r="Q67" s="335"/>
      <c r="R67" s="335"/>
      <c r="S67" s="335"/>
      <c r="T67" s="335"/>
      <c r="U67" s="335"/>
      <c r="V67" s="335"/>
      <c r="W67" s="335"/>
      <c r="X67" s="335"/>
      <c r="Y67" s="335"/>
      <c r="Z67" s="335"/>
      <c r="AA67" s="335"/>
      <c r="AB67" s="335"/>
      <c r="AC67" s="335"/>
      <c r="AD67" s="335"/>
    </row>
    <row r="68" spans="1:30" s="18" customFormat="1">
      <c r="A68" s="46" t="s">
        <v>164</v>
      </c>
      <c r="B68" s="59"/>
      <c r="C68" s="48">
        <f>SUMIFS($F$16:$F$58,$D$16:$D$58,$A68,$G$16:$G$58,D68)+(SUMIFS($F$16:$F$58,$D$16:$D$58,$A68,$G$16:$G$58,"MMBtu")*(VLOOKUP(A68,'Heat Content'!$A$14:$E$40,4,0)))</f>
        <v>0</v>
      </c>
      <c r="D68" s="60" t="s">
        <v>243</v>
      </c>
      <c r="E68" s="71"/>
      <c r="F68" s="335"/>
      <c r="G68" s="335"/>
      <c r="H68" s="335"/>
      <c r="I68" s="335"/>
      <c r="J68" s="335"/>
      <c r="K68" s="335"/>
      <c r="L68" s="335"/>
      <c r="M68" s="335"/>
      <c r="N68" s="335"/>
      <c r="O68" s="335"/>
      <c r="P68" s="335"/>
      <c r="Q68" s="335"/>
      <c r="R68" s="335"/>
      <c r="S68" s="335"/>
      <c r="T68" s="335"/>
      <c r="U68" s="335"/>
      <c r="V68" s="335"/>
      <c r="W68" s="335"/>
      <c r="X68" s="335"/>
      <c r="Y68" s="335"/>
      <c r="Z68" s="335"/>
      <c r="AA68" s="335"/>
      <c r="AB68" s="335"/>
      <c r="AC68" s="335"/>
      <c r="AD68" s="335"/>
    </row>
    <row r="69" spans="1:30" s="18" customFormat="1">
      <c r="A69" s="993" t="s">
        <v>165</v>
      </c>
      <c r="B69" s="994"/>
      <c r="C69" s="139">
        <f>SUMIFS($F$16:$F$58,$D$16:$D$58,$A69,$G$16:$G$58,D69)+(SUMIFS($F$16:$F$58,$D$16:$D$58,$A69,$G$16:$G$58,"MMBtu")*(VLOOKUP(A69,'Heat Content'!$A$14:$E$40,4,0)))</f>
        <v>0</v>
      </c>
      <c r="D69" s="995" t="s">
        <v>243</v>
      </c>
    </row>
    <row r="70" spans="1:30" s="18" customFormat="1">
      <c r="A70" s="993" t="s">
        <v>1300</v>
      </c>
      <c r="B70" s="994"/>
      <c r="C70" s="139">
        <f>SUMIFS($F$16:$F$58,$D$16:$D$58,$A70,$G$16:$G$58,D70)+(SUMIFS($F$16:$F$58,$D$16:$D$58,$A70,$G$16:$G$58,"MMBtu")*(VLOOKUP(A70,'Heat Content'!$A$14:$E$40,4,0)))</f>
        <v>0</v>
      </c>
      <c r="D70" s="995" t="s">
        <v>243</v>
      </c>
    </row>
    <row r="71" spans="1:30" s="18" customFormat="1">
      <c r="A71" s="993" t="s">
        <v>728</v>
      </c>
      <c r="B71" s="994"/>
      <c r="C71" s="139">
        <f>SUMIFS($F$16:$F$58,$D$16:$D$58,$A71,$G$16:$G$58,D71)+(SUMIFS($F$16:$F$58,$D$16:$D$58,$A71,$G$16:$G$58,"MMBtu")*(VLOOKUP(A71,'Heat Content'!$A$14:$E$40,4,0)))</f>
        <v>0</v>
      </c>
      <c r="D71" s="995" t="s">
        <v>243</v>
      </c>
    </row>
    <row r="72" spans="1:30" s="18" customFormat="1">
      <c r="A72" s="993" t="s">
        <v>1315</v>
      </c>
      <c r="B72" s="994"/>
      <c r="C72" s="139">
        <f>SUMIFS($F$16:$F$58,$D$16:$D$58,$A72,$G$16:$G$58,D72)+(SUMIFS($F$16:$F$58,$D$16:$D$58,$A72,$G$16:$G$58,"MMBtu")*(VLOOKUP(A72,'Heat Content'!$A$14:$E$40,4,0)))</f>
        <v>0</v>
      </c>
      <c r="D72" s="995" t="s">
        <v>243</v>
      </c>
    </row>
    <row r="73" spans="1:30" s="18" customFormat="1">
      <c r="A73" s="993" t="s">
        <v>1316</v>
      </c>
      <c r="B73" s="994"/>
      <c r="C73" s="139">
        <f>SUMIFS($F$16:$F$58,$D$16:$D$58,$A73,$G$16:$G$58,D73)+(SUMIFS($F$16:$F$58,$D$16:$D$58,$A73,$G$16:$G$58,"MMBtu")*(VLOOKUP(A73,'Heat Content'!$A$14:$E$40,4,0)))</f>
        <v>0</v>
      </c>
      <c r="D73" s="995" t="s">
        <v>243</v>
      </c>
    </row>
    <row r="74" spans="1:30" s="18" customFormat="1" ht="13.5" thickBot="1">
      <c r="A74" s="993" t="s">
        <v>729</v>
      </c>
      <c r="B74" s="994"/>
      <c r="C74" s="139">
        <f>SUMIFS($F$16:$F$58,$D$16:$D$58,$A74,$G$16:$G$58,D74)+(SUMIFS($F$16:$F$58,$D$16:$D$58,$A74,$G$16:$G$58,"MMBtu")*(VLOOKUP(A74,'Heat Content'!$A$14:$E$40,4,0)))</f>
        <v>0</v>
      </c>
      <c r="D74" s="995" t="s">
        <v>243</v>
      </c>
    </row>
    <row r="75" spans="1:30" s="18" customFormat="1" ht="13.5" thickBot="1">
      <c r="A75" s="996" t="s">
        <v>1324</v>
      </c>
      <c r="B75" s="997"/>
      <c r="C75" s="997"/>
      <c r="D75" s="998"/>
    </row>
    <row r="76" spans="1:30" s="18" customFormat="1">
      <c r="A76" s="993" t="s">
        <v>1325</v>
      </c>
      <c r="B76" s="994"/>
      <c r="C76" s="139">
        <f>SUMIFS($F$16:$F$58,$D$16:$D$58,$A76,$G$16:$G$58,D76)+(SUMIFS($F$16:$F$58,$D$16:$D$58,$A76,$G$16:$G$58,"MMBtu")*(VLOOKUP(A76,'Heat Content'!$A$14:$E$40,4,0)))</f>
        <v>0</v>
      </c>
      <c r="D76" s="999" t="s">
        <v>243</v>
      </c>
      <c r="E76" s="1000"/>
    </row>
    <row r="77" spans="1:30" s="18" customFormat="1">
      <c r="A77" s="993" t="s">
        <v>1326</v>
      </c>
      <c r="B77" s="994"/>
      <c r="C77" s="139">
        <f>SUMIFS($F$16:$F$58,$D$16:$D$58,$A77,$G$16:$G$58,D77)+(SUMIFS($F$16:$F$58,$D$16:$D$58,$A77,$G$16:$G$58,"MMBtu")*(VLOOKUP(A77,'Heat Content'!$A$14:$E$40,4,0)))</f>
        <v>0</v>
      </c>
      <c r="D77" s="999" t="s">
        <v>243</v>
      </c>
    </row>
    <row r="78" spans="1:30" s="18" customFormat="1">
      <c r="A78" s="993" t="s">
        <v>1327</v>
      </c>
      <c r="B78" s="994"/>
      <c r="C78" s="139">
        <f>SUMIFS($F$16:$F$58,$D$16:$D$58,$A78,$G$16:$G$58,D78)+(SUMIFS($F$16:$F$58,$D$16:$D$58,$A78,$G$16:$G$58,"MMBtu")*(VLOOKUP(A78,'Heat Content'!$A$14:$E$40,4,0)))</f>
        <v>0</v>
      </c>
      <c r="D78" s="999" t="s">
        <v>243</v>
      </c>
    </row>
    <row r="79" spans="1:30" s="18" customFormat="1" ht="13.5" thickBot="1">
      <c r="A79" s="993" t="s">
        <v>1102</v>
      </c>
      <c r="B79" s="994"/>
      <c r="C79" s="139">
        <f>SUMIFS($F$16:$F$58,$D$16:$D$58,$A79,$G$16:$G$58,D79)+(SUMIFS($F$16:$F$58,$D$16:$D$58,$A79,$G$16:$G$58,"MMBtu")*(VLOOKUP(A79,'Heat Content'!$A$14:$E$40,4,0)))</f>
        <v>0</v>
      </c>
      <c r="D79" s="999" t="s">
        <v>243</v>
      </c>
    </row>
    <row r="80" spans="1:30" s="18" customFormat="1" ht="13.5" thickBot="1">
      <c r="A80" s="996" t="s">
        <v>1328</v>
      </c>
      <c r="B80" s="997"/>
      <c r="C80" s="997"/>
      <c r="D80" s="998"/>
    </row>
    <row r="81" spans="1:5" s="18" customFormat="1">
      <c r="A81" s="993" t="s">
        <v>1317</v>
      </c>
      <c r="B81" s="994"/>
      <c r="C81" s="139">
        <f>SUMIFS($F$16:$F$58,$D$16:$D$58,$A81,$G$16:$G$58,D81)+(SUMIFS($F$16:$F$58,$D$16:$D$58,$A81,$G$16:$G$58,"MMBtu")*(VLOOKUP(A81,'Heat Content'!$A$14:$E$40,4,0)))</f>
        <v>0</v>
      </c>
      <c r="D81" s="999" t="s">
        <v>243</v>
      </c>
    </row>
    <row r="82" spans="1:5" s="18" customFormat="1">
      <c r="A82" s="993" t="s">
        <v>1318</v>
      </c>
      <c r="B82" s="994"/>
      <c r="C82" s="139">
        <f>SUMIFS($F$16:$F$58,$D$16:$D$58,$A82,$G$16:$G$58,D82)+(SUMIFS($F$16:$F$58,$D$16:$D$58,$A82,$G$16:$G$58,"MMBtu")*(VLOOKUP(A82,'Heat Content'!$A$14:$E$40,4,0)))</f>
        <v>0</v>
      </c>
      <c r="D82" s="999" t="s">
        <v>243</v>
      </c>
    </row>
    <row r="83" spans="1:5" s="18" customFormat="1">
      <c r="A83" s="993" t="s">
        <v>1319</v>
      </c>
      <c r="B83" s="994"/>
      <c r="C83" s="139">
        <f>SUMIFS($F$16:$F$58,$D$16:$D$58,$A83,$G$16:$G$58,D83)+(SUMIFS($F$16:$F$58,$D$16:$D$58,$A83,$G$16:$G$58,"MMBtu")*(VLOOKUP(A83,'Heat Content'!$A$14:$E$40,4,0)))</f>
        <v>0</v>
      </c>
      <c r="D83" s="999" t="s">
        <v>243</v>
      </c>
    </row>
    <row r="84" spans="1:5" s="18" customFormat="1" ht="13.5" thickBot="1">
      <c r="A84" s="993" t="s">
        <v>732</v>
      </c>
      <c r="B84" s="994"/>
      <c r="C84" s="139">
        <f>SUMIFS($F$16:$F$58,$D$16:$D$58,$A84,$G$16:$G$58,D84)+(SUMIFS($F$16:$F$58,$D$16:$D$58,$A84,$G$16:$G$58,"MMBtu")*(VLOOKUP(A84,'Heat Content'!$A$14:$E$40,4,0)))</f>
        <v>0</v>
      </c>
      <c r="D84" s="999" t="s">
        <v>243</v>
      </c>
    </row>
    <row r="85" spans="1:5" s="18" customFormat="1" ht="13.5" thickBot="1">
      <c r="A85" s="996" t="s">
        <v>1329</v>
      </c>
      <c r="B85" s="997"/>
      <c r="C85" s="997"/>
      <c r="D85" s="998"/>
    </row>
    <row r="86" spans="1:5" s="18" customFormat="1">
      <c r="A86" s="993" t="s">
        <v>166</v>
      </c>
      <c r="B86" s="994"/>
      <c r="C86" s="139">
        <f>SUMIFS($F$16:$F$58,$D$16:$D$58,$A86,$G$16:$G$58,D86)+(SUMIFS($F$16:$F$58,$D$16:$D$58,$A86,$G$16:$G$58,"MMBtu")*Natural_Gas_scf_per_mmBtu)+(SUMIFS($F$16:$F$58,$D$16:$D$58,$A86,$G$16:$G$58,"Therm")*Natural_Gas_scf_per_therm)</f>
        <v>70175438.568000004</v>
      </c>
      <c r="D86" s="1001" t="s">
        <v>167</v>
      </c>
    </row>
    <row r="87" spans="1:5" s="18" customFormat="1">
      <c r="A87" s="993" t="s">
        <v>1330</v>
      </c>
      <c r="B87" s="994"/>
      <c r="C87" s="139">
        <f>SUMIFS($F$16:$F$58,$D$16:$D$58,$A87,$G$16:$G$58,D87)+(SUMIFS($F$16:$F$58,$D$16:$D$58,$A87,$G$16:$G$58,"MMBtu")*Propane_Gas_scf_per_mmBtu)+(SUMIFS($F$16:$F$58,$D$16:$D$58,$A87,$G$16:$G$58,"Therm")*Propane_Gas_scf_per_therm)</f>
        <v>0</v>
      </c>
      <c r="D87" s="1001" t="s">
        <v>167</v>
      </c>
      <c r="E87" s="1000"/>
    </row>
    <row r="88" spans="1:5" s="18" customFormat="1" ht="13.5" thickBot="1">
      <c r="A88" s="993" t="s">
        <v>734</v>
      </c>
      <c r="B88" s="994"/>
      <c r="C88" s="139">
        <f>SUMIFS($F$16:$F$58,$D$16:$D$58,$A88,$G$16:$G$58,D88)+(SUMIFS($F$16:$F$58,$D$16:$D$58,$A88,$G$16:$G$58,"MMBtu")*Landfill_Gas_scf_per_mmBtu)+(SUMIFS($F$16:$F$58,$D$16:$D$58,$A88,$G$16:$G$58,"Therm")*Landfill_Gas_scf_per_therm)</f>
        <v>0</v>
      </c>
      <c r="D88" s="1001" t="s">
        <v>167</v>
      </c>
    </row>
    <row r="89" spans="1:5" s="18" customFormat="1" ht="13.5" thickBot="1">
      <c r="A89" s="996" t="s">
        <v>1331</v>
      </c>
      <c r="B89" s="997"/>
      <c r="C89" s="997"/>
      <c r="D89" s="998"/>
    </row>
    <row r="90" spans="1:5" s="18" customFormat="1">
      <c r="A90" s="1002" t="s">
        <v>730</v>
      </c>
      <c r="B90" s="994"/>
      <c r="C90" s="139">
        <f>SUMIFS($F$16:$F$58,$D$16:$D$58,$A90,$G$16:$G$58,D90)+(SUMIFS($F$16:$F$58,$D$16:$D$58,$A90,$G$16:$G$58,"MMBtu")*(VLOOKUP(A90,'Heat Content'!$A$14:$E$40,4,0)))</f>
        <v>0</v>
      </c>
      <c r="D90" s="1001" t="s">
        <v>168</v>
      </c>
    </row>
    <row r="91" spans="1:5" s="18" customFormat="1">
      <c r="A91" s="1002" t="s">
        <v>731</v>
      </c>
      <c r="B91" s="994"/>
      <c r="C91" s="139">
        <f>SUMIFS($F$16:$F$58,$D$16:$D$58,$A91,$G$16:$G$58,D91)+(SUMIFS($F$16:$F$58,$D$16:$D$58,$A91,$G$16:$G$58,"MMBtu")*(VLOOKUP(A91,'Heat Content'!$A$14:$E$40,4,0)))</f>
        <v>0</v>
      </c>
      <c r="D91" s="1001" t="s">
        <v>168</v>
      </c>
    </row>
    <row r="92" spans="1:5" s="18" customFormat="1">
      <c r="A92" s="993" t="s">
        <v>169</v>
      </c>
      <c r="B92" s="994"/>
      <c r="C92" s="139">
        <f>SUMIFS($F$16:$F$58,$D$16:$D$58,$A92,$G$16:$G$58,D92)+(SUMIFS($F$16:$F$58,$D$16:$D$58,$A92,$G$16:$G$58,"MMBtu")*(VLOOKUP(A92,'Heat Content'!$A$14:$E$40,4,0)))</f>
        <v>0</v>
      </c>
      <c r="D92" s="1001" t="s">
        <v>168</v>
      </c>
    </row>
    <row r="93" spans="1:5" s="18" customFormat="1" ht="13.5" thickBot="1">
      <c r="A93" s="1002" t="s">
        <v>733</v>
      </c>
      <c r="B93" s="994"/>
      <c r="C93" s="139">
        <f>SUMIFS($F$16:$F$58,$D$16:$D$58,$A93,$G$16:$G$58,D93)+(SUMIFS($F$16:$F$58,$D$16:$D$58,$A93,$G$16:$G$58,"MMBtu")*(VLOOKUP(A93,'Heat Content'!$A$14:$E$40,4,0)))</f>
        <v>0</v>
      </c>
      <c r="D93" s="1001" t="s">
        <v>168</v>
      </c>
    </row>
    <row r="94" spans="1:5" s="18" customFormat="1" ht="13.5" thickBot="1">
      <c r="A94" s="996" t="s">
        <v>1332</v>
      </c>
      <c r="B94" s="997"/>
      <c r="C94" s="997"/>
      <c r="D94" s="998"/>
    </row>
    <row r="95" spans="1:5" s="18" customFormat="1">
      <c r="A95" s="1003" t="s">
        <v>737</v>
      </c>
      <c r="B95" s="1004"/>
      <c r="C95" s="1005">
        <f>SUMIFS($F$16:$F$58,$D$16:$D$58,$A95,$G$16:$G$58,D95)+(SUMIFS($F$16:$F$58,$D$16:$D$58,$A95,$G$16:$G$58,"MMBtu")*(VLOOKUP(A95,'Heat Content'!$A$14:$E$40,4,0)))</f>
        <v>0</v>
      </c>
      <c r="D95" s="1006" t="s">
        <v>168</v>
      </c>
      <c r="E95" s="1000"/>
    </row>
    <row r="96" spans="1:5" s="18" customFormat="1">
      <c r="A96" s="1007" t="s">
        <v>736</v>
      </c>
      <c r="B96" s="1008"/>
      <c r="C96" s="1009">
        <f>SUMIFS($F$16:$F$58,$D$16:$D$58,$A96,$G$16:$G$58,D96)+(SUMIFS($F$16:$F$58,$D$16:$D$58,$A96,$G$16:$G$58,"MMBtu")*(VLOOKUP(A96,'Heat Content'!$A$14:$E$40,4,0)))</f>
        <v>0</v>
      </c>
      <c r="D96" s="1001" t="s">
        <v>168</v>
      </c>
      <c r="E96" s="1000"/>
    </row>
    <row r="97" spans="1:30" ht="13.5" thickBot="1">
      <c r="A97" s="200" t="s">
        <v>1334</v>
      </c>
      <c r="B97" s="1010"/>
      <c r="C97" s="1011">
        <f>SUMIFS($F$16:$F$58,$D$16:$D$58,$A97,$G$16:$G$58,D97)+(SUMIFS($F$16:$F$58,$D$16:$D$58,$A97,$G$16:$G$58,"MMBtu")*(VLOOKUP(A97,'Heat Content'!$A$14:$E$40,4,0)))</f>
        <v>0</v>
      </c>
      <c r="D97" s="1012" t="s">
        <v>168</v>
      </c>
      <c r="E97" s="1000"/>
    </row>
    <row r="98" spans="1:30">
      <c r="A98" s="4"/>
      <c r="B98" s="4"/>
      <c r="C98" s="4"/>
      <c r="D98" s="4"/>
      <c r="E98" s="4"/>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row>
    <row r="99" spans="1:30" ht="15" thickBot="1">
      <c r="A99" s="7" t="s">
        <v>1011</v>
      </c>
      <c r="B99" s="4"/>
      <c r="C99" s="4"/>
      <c r="D99" s="4"/>
      <c r="E99" s="4"/>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row>
    <row r="100" spans="1:30" ht="15" thickBot="1">
      <c r="A100" s="1190" t="s">
        <v>161</v>
      </c>
      <c r="B100" s="1191"/>
      <c r="C100" s="189" t="s">
        <v>291</v>
      </c>
      <c r="D100" s="189" t="s">
        <v>292</v>
      </c>
      <c r="E100" s="190" t="s">
        <v>255</v>
      </c>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row>
    <row r="101" spans="1:30" s="18" customFormat="1">
      <c r="A101" s="1183" t="s">
        <v>1349</v>
      </c>
      <c r="B101" s="1184"/>
      <c r="C101" s="1184"/>
      <c r="D101" s="1184"/>
      <c r="E101" s="1185"/>
      <c r="F101" s="335"/>
      <c r="G101" s="335"/>
      <c r="H101" s="335"/>
      <c r="I101" s="335"/>
      <c r="J101" s="335"/>
      <c r="K101" s="335"/>
      <c r="L101" s="335"/>
      <c r="M101" s="335"/>
      <c r="N101" s="335"/>
      <c r="O101" s="335"/>
      <c r="P101" s="335"/>
      <c r="Q101" s="335"/>
      <c r="R101" s="335"/>
      <c r="S101" s="335"/>
      <c r="T101" s="335"/>
      <c r="U101" s="335"/>
      <c r="V101" s="335"/>
      <c r="W101" s="335"/>
      <c r="X101" s="335"/>
      <c r="Y101" s="335"/>
      <c r="Z101" s="335"/>
      <c r="AA101" s="335"/>
      <c r="AB101" s="335"/>
      <c r="AC101" s="335"/>
      <c r="AD101" s="335"/>
    </row>
    <row r="102" spans="1:30" s="18" customFormat="1">
      <c r="A102" s="57" t="s">
        <v>162</v>
      </c>
      <c r="B102" s="58"/>
      <c r="C102" s="252">
        <f t="shared" ref="C102:C110" si="0">_xlfn.XLOOKUP($A102,$A$66:$A$97,$C$66:$C$97)*VLOOKUP($A102,Stationary_Fuel_Fctrs_unit,5,FALSE)</f>
        <v>0</v>
      </c>
      <c r="D102" s="252">
        <f t="shared" ref="D102:D110" si="1">_xlfn.XLOOKUP($A102,$A$66:$A$97,$C$66:$C$97)*VLOOKUP($A102,Stationary_Fuel_Fctrs_unit,6,FALSE)</f>
        <v>0</v>
      </c>
      <c r="E102" s="252">
        <f t="shared" ref="E102:E110" si="2">_xlfn.XLOOKUP($A102,$A$66:$A$97,$C$66:$C$97)*VLOOKUP($A102,Stationary_Fuel_Fctrs_unit,7,FALSE)</f>
        <v>0</v>
      </c>
      <c r="F102" s="971"/>
      <c r="G102" s="335"/>
      <c r="H102" s="335"/>
      <c r="I102" s="335"/>
      <c r="J102" s="335"/>
      <c r="K102" s="335"/>
      <c r="L102" s="335"/>
      <c r="M102" s="335"/>
      <c r="N102" s="335"/>
      <c r="O102" s="335"/>
      <c r="P102" s="335"/>
      <c r="Q102" s="335"/>
      <c r="R102" s="335"/>
      <c r="S102" s="335"/>
      <c r="T102" s="335"/>
      <c r="U102" s="335"/>
      <c r="V102" s="335"/>
      <c r="W102" s="335"/>
      <c r="X102" s="335"/>
      <c r="Y102" s="335"/>
      <c r="Z102" s="335"/>
      <c r="AA102" s="335"/>
      <c r="AB102" s="335"/>
      <c r="AC102" s="335"/>
      <c r="AD102" s="335"/>
    </row>
    <row r="103" spans="1:30" s="18" customFormat="1">
      <c r="A103" s="57" t="s">
        <v>163</v>
      </c>
      <c r="B103" s="58"/>
      <c r="C103" s="252">
        <f t="shared" si="0"/>
        <v>0</v>
      </c>
      <c r="D103" s="252">
        <f t="shared" si="1"/>
        <v>0</v>
      </c>
      <c r="E103" s="252">
        <f t="shared" si="2"/>
        <v>0</v>
      </c>
      <c r="F103" s="971"/>
      <c r="G103" s="335"/>
      <c r="H103" s="335"/>
      <c r="I103" s="335"/>
      <c r="J103" s="335"/>
      <c r="K103" s="335"/>
      <c r="L103" s="335"/>
      <c r="M103" s="335"/>
      <c r="N103" s="335"/>
      <c r="O103" s="335"/>
      <c r="P103" s="335"/>
      <c r="Q103" s="335"/>
      <c r="R103" s="335"/>
      <c r="S103" s="335"/>
      <c r="T103" s="335"/>
      <c r="U103" s="335"/>
      <c r="V103" s="335"/>
      <c r="W103" s="335"/>
      <c r="X103" s="335"/>
      <c r="Y103" s="335"/>
      <c r="Z103" s="335"/>
      <c r="AA103" s="335"/>
      <c r="AB103" s="335"/>
      <c r="AC103" s="335"/>
      <c r="AD103" s="335"/>
    </row>
    <row r="104" spans="1:30" s="18" customFormat="1">
      <c r="A104" s="57" t="s">
        <v>164</v>
      </c>
      <c r="B104" s="58"/>
      <c r="C104" s="252">
        <f t="shared" si="0"/>
        <v>0</v>
      </c>
      <c r="D104" s="252">
        <f t="shared" si="1"/>
        <v>0</v>
      </c>
      <c r="E104" s="252">
        <f t="shared" si="2"/>
        <v>0</v>
      </c>
      <c r="F104" s="971"/>
      <c r="G104" s="335"/>
      <c r="H104" s="335"/>
      <c r="I104" s="335"/>
      <c r="J104" s="335"/>
      <c r="K104" s="335"/>
      <c r="L104" s="335"/>
      <c r="M104" s="335"/>
      <c r="N104" s="335"/>
      <c r="O104" s="335"/>
      <c r="P104" s="335"/>
      <c r="Q104" s="335"/>
      <c r="R104" s="335"/>
      <c r="S104" s="335"/>
      <c r="T104" s="335"/>
      <c r="U104" s="335"/>
      <c r="V104" s="335"/>
      <c r="W104" s="335"/>
      <c r="X104" s="335"/>
      <c r="Y104" s="335"/>
      <c r="Z104" s="335"/>
      <c r="AA104" s="335"/>
      <c r="AB104" s="335"/>
      <c r="AC104" s="335"/>
      <c r="AD104" s="335"/>
    </row>
    <row r="105" spans="1:30" s="18" customFormat="1">
      <c r="A105" s="57" t="s">
        <v>165</v>
      </c>
      <c r="B105" s="58"/>
      <c r="C105" s="252">
        <f t="shared" si="0"/>
        <v>0</v>
      </c>
      <c r="D105" s="252">
        <f t="shared" si="1"/>
        <v>0</v>
      </c>
      <c r="E105" s="252">
        <f t="shared" si="2"/>
        <v>0</v>
      </c>
      <c r="F105" s="971"/>
      <c r="G105" s="335"/>
      <c r="H105" s="335"/>
      <c r="I105" s="335"/>
      <c r="J105" s="335"/>
      <c r="K105" s="335"/>
      <c r="L105" s="335"/>
      <c r="M105" s="335"/>
      <c r="N105" s="335"/>
      <c r="O105" s="335"/>
      <c r="P105" s="335"/>
      <c r="Q105" s="335"/>
      <c r="R105" s="335"/>
      <c r="S105" s="335"/>
      <c r="T105" s="335"/>
      <c r="U105" s="335"/>
      <c r="V105" s="335"/>
      <c r="W105" s="335"/>
      <c r="X105" s="335"/>
      <c r="Y105" s="335"/>
      <c r="Z105" s="335"/>
      <c r="AA105" s="335"/>
      <c r="AB105" s="335"/>
      <c r="AC105" s="335"/>
      <c r="AD105" s="335"/>
    </row>
    <row r="106" spans="1:30" s="18" customFormat="1">
      <c r="A106" s="1013" t="s">
        <v>1300</v>
      </c>
      <c r="B106" s="1014"/>
      <c r="C106" s="1015">
        <f t="shared" si="0"/>
        <v>0</v>
      </c>
      <c r="D106" s="1015">
        <f t="shared" si="1"/>
        <v>0</v>
      </c>
      <c r="E106" s="1015">
        <f t="shared" si="2"/>
        <v>0</v>
      </c>
      <c r="F106" s="1016"/>
    </row>
    <row r="107" spans="1:30" s="18" customFormat="1">
      <c r="A107" s="1013" t="s">
        <v>728</v>
      </c>
      <c r="B107" s="1014"/>
      <c r="C107" s="1015">
        <f t="shared" si="0"/>
        <v>0</v>
      </c>
      <c r="D107" s="1015">
        <f t="shared" si="1"/>
        <v>0</v>
      </c>
      <c r="E107" s="1015">
        <f t="shared" si="2"/>
        <v>0</v>
      </c>
      <c r="F107" s="1016"/>
    </row>
    <row r="108" spans="1:30" s="18" customFormat="1">
      <c r="A108" s="1013" t="s">
        <v>1315</v>
      </c>
      <c r="B108" s="1014"/>
      <c r="C108" s="1015">
        <f t="shared" si="0"/>
        <v>0</v>
      </c>
      <c r="D108" s="1015">
        <f t="shared" si="1"/>
        <v>0</v>
      </c>
      <c r="E108" s="1015">
        <f t="shared" si="2"/>
        <v>0</v>
      </c>
      <c r="F108" s="1016"/>
    </row>
    <row r="109" spans="1:30" s="18" customFormat="1">
      <c r="A109" s="1013" t="s">
        <v>1316</v>
      </c>
      <c r="B109" s="1014"/>
      <c r="C109" s="1015">
        <f t="shared" si="0"/>
        <v>0</v>
      </c>
      <c r="D109" s="1015">
        <f t="shared" si="1"/>
        <v>0</v>
      </c>
      <c r="E109" s="1015">
        <f t="shared" si="2"/>
        <v>0</v>
      </c>
      <c r="F109" s="1016"/>
    </row>
    <row r="110" spans="1:30" s="18" customFormat="1">
      <c r="A110" s="1017" t="s">
        <v>729</v>
      </c>
      <c r="B110" s="1018"/>
      <c r="C110" s="1019">
        <f t="shared" si="0"/>
        <v>0</v>
      </c>
      <c r="D110" s="1019">
        <f t="shared" si="1"/>
        <v>0</v>
      </c>
      <c r="E110" s="1019">
        <f t="shared" si="2"/>
        <v>0</v>
      </c>
      <c r="F110" s="1016"/>
    </row>
    <row r="111" spans="1:30" s="18" customFormat="1">
      <c r="A111" s="1180" t="s">
        <v>1324</v>
      </c>
      <c r="B111" s="1181"/>
      <c r="C111" s="1181"/>
      <c r="D111" s="1181"/>
      <c r="E111" s="1182"/>
      <c r="F111" s="1016"/>
    </row>
    <row r="112" spans="1:30" s="18" customFormat="1">
      <c r="A112" s="1013" t="s">
        <v>1325</v>
      </c>
      <c r="B112" s="1014"/>
      <c r="C112" s="1015">
        <f>_xlfn.XLOOKUP($A112,$A$66:$A$97,$C$66:$C$97)*VLOOKUP($A112,Stationary_Fuel_Fctrs_unit,5,FALSE)</f>
        <v>0</v>
      </c>
      <c r="D112" s="1015">
        <f>_xlfn.XLOOKUP($A112,$A$66:$A$97,$C$66:$C$97)*VLOOKUP($A112,Stationary_Fuel_Fctrs_unit,6,FALSE)</f>
        <v>0</v>
      </c>
      <c r="E112" s="1015">
        <f>_xlfn.XLOOKUP($A112,$A$66:$A$97,$C$66:$C$97)*VLOOKUP($A112,Stationary_Fuel_Fctrs_unit,7,FALSE)</f>
        <v>0</v>
      </c>
      <c r="F112" s="1016"/>
    </row>
    <row r="113" spans="1:6" s="18" customFormat="1">
      <c r="A113" s="1013" t="s">
        <v>1326</v>
      </c>
      <c r="B113" s="1014"/>
      <c r="C113" s="1015">
        <f>_xlfn.XLOOKUP($A113,$A$66:$A$97,$C$66:$C$97)*VLOOKUP($A113,Stationary_Fuel_Fctrs_unit,5,FALSE)</f>
        <v>0</v>
      </c>
      <c r="D113" s="1015">
        <f>_xlfn.XLOOKUP($A113,$A$66:$A$97,$C$66:$C$97)*VLOOKUP($A113,Stationary_Fuel_Fctrs_unit,6,FALSE)</f>
        <v>0</v>
      </c>
      <c r="E113" s="1015">
        <f>_xlfn.XLOOKUP($A113,$A$66:$A$97,$C$66:$C$97)*VLOOKUP($A113,Stationary_Fuel_Fctrs_unit,7,FALSE)</f>
        <v>0</v>
      </c>
      <c r="F113" s="1016"/>
    </row>
    <row r="114" spans="1:6" s="18" customFormat="1">
      <c r="A114" s="1013" t="s">
        <v>1327</v>
      </c>
      <c r="B114" s="1014"/>
      <c r="C114" s="1015">
        <f>_xlfn.XLOOKUP($A114,$A$66:$A$97,$C$66:$C$97)*VLOOKUP($A114,Stationary_Fuel_Fctrs_unit,5,FALSE)</f>
        <v>0</v>
      </c>
      <c r="D114" s="1015">
        <f>_xlfn.XLOOKUP($A114,$A$66:$A$97,$C$66:$C$97)*VLOOKUP($A114,Stationary_Fuel_Fctrs_unit,6,FALSE)</f>
        <v>0</v>
      </c>
      <c r="E114" s="1015">
        <f>_xlfn.XLOOKUP($A114,$A$66:$A$97,$C$66:$C$97)*VLOOKUP($A114,Stationary_Fuel_Fctrs_unit,7,FALSE)</f>
        <v>0</v>
      </c>
      <c r="F114" s="1016"/>
    </row>
    <row r="115" spans="1:6" s="18" customFormat="1">
      <c r="A115" s="1017" t="s">
        <v>1102</v>
      </c>
      <c r="B115" s="1018"/>
      <c r="C115" s="1015">
        <f>_xlfn.XLOOKUP($A115,$A$66:$A$97,$C$66:$C$97)*VLOOKUP($A115,Stationary_Fuel_Fctrs_unit,5,FALSE)</f>
        <v>0</v>
      </c>
      <c r="D115" s="1015">
        <f>_xlfn.XLOOKUP($A115,$A$66:$A$97,$C$66:$C$97)*VLOOKUP($A115,Stationary_Fuel_Fctrs_unit,6,FALSE)</f>
        <v>0</v>
      </c>
      <c r="E115" s="1015">
        <f>_xlfn.XLOOKUP($A115,$A$66:$A$97,$C$66:$C$97)*VLOOKUP($A115,Stationary_Fuel_Fctrs_unit,7,FALSE)</f>
        <v>0</v>
      </c>
      <c r="F115" s="1016"/>
    </row>
    <row r="116" spans="1:6" s="18" customFormat="1">
      <c r="A116" s="1180" t="s">
        <v>1329</v>
      </c>
      <c r="B116" s="1181"/>
      <c r="C116" s="1181"/>
      <c r="D116" s="1181"/>
      <c r="E116" s="1182"/>
      <c r="F116" s="1016"/>
    </row>
    <row r="117" spans="1:6" s="18" customFormat="1">
      <c r="A117" s="1013" t="s">
        <v>166</v>
      </c>
      <c r="B117" s="1014"/>
      <c r="C117" s="1015">
        <f>_xlfn.XLOOKUP($A117,$A$66:$A$97,$C$66:$C$97)*VLOOKUP($A117,Stationary_Fuel_Fctrs_unit,5,FALSE)</f>
        <v>3820350.8756419201</v>
      </c>
      <c r="D117" s="1015">
        <f>_xlfn.XLOOKUP($A117,$A$66:$A$97,$C$66:$C$97)*VLOOKUP($A117,Stationary_Fuel_Fctrs_unit,6,FALSE)</f>
        <v>72280.701725040009</v>
      </c>
      <c r="E117" s="1015">
        <f>_xlfn.XLOOKUP($A117,$A$66:$A$97,$C$66:$C$97)*VLOOKUP($A117,Stationary_Fuel_Fctrs_unit,7,FALSE)</f>
        <v>7017.5438568000009</v>
      </c>
      <c r="F117" s="1016"/>
    </row>
    <row r="118" spans="1:6" s="18" customFormat="1">
      <c r="A118" s="1013" t="s">
        <v>1330</v>
      </c>
      <c r="B118" s="1014"/>
      <c r="C118" s="1015">
        <f>_xlfn.XLOOKUP($A118,$A$66:$A$97,$C$66:$C$97)*VLOOKUP($A118,Stationary_Fuel_Fctrs_unit,5,FALSE)</f>
        <v>0</v>
      </c>
      <c r="D118" s="1015">
        <f>_xlfn.XLOOKUP($A118,$A$66:$A$97,$C$66:$C$97)*VLOOKUP($A118,Stationary_Fuel_Fctrs_unit,6,FALSE)</f>
        <v>0</v>
      </c>
      <c r="E118" s="1015">
        <f>_xlfn.XLOOKUP($A118,$A$66:$A$97,$C$66:$C$97)*VLOOKUP($A118,Stationary_Fuel_Fctrs_unit,7,FALSE)</f>
        <v>0</v>
      </c>
      <c r="F118" s="1016"/>
    </row>
    <row r="119" spans="1:6" s="18" customFormat="1">
      <c r="A119" s="1013" t="s">
        <v>734</v>
      </c>
      <c r="B119" s="1014"/>
      <c r="C119" s="1015">
        <f>_xlfn.XLOOKUP($A119,$A$66:$A$97,$C$66:$C$97)*VLOOKUP($A119,Stationary_Fuel_Fctrs_unit,5,FALSE)</f>
        <v>0</v>
      </c>
      <c r="D119" s="1015">
        <f>_xlfn.XLOOKUP($A119,$A$66:$A$97,$C$66:$C$97)*VLOOKUP($A119,Stationary_Fuel_Fctrs_unit,6,FALSE)</f>
        <v>0</v>
      </c>
      <c r="E119" s="1015">
        <f>_xlfn.XLOOKUP($A119,$A$66:$A$97,$C$66:$C$97)*VLOOKUP($A119,Stationary_Fuel_Fctrs_unit,7,FALSE)</f>
        <v>0</v>
      </c>
      <c r="F119" s="1016"/>
    </row>
    <row r="120" spans="1:6" s="18" customFormat="1">
      <c r="A120" s="1180" t="s">
        <v>1331</v>
      </c>
      <c r="B120" s="1181"/>
      <c r="C120" s="1181"/>
      <c r="D120" s="1181"/>
      <c r="E120" s="1182"/>
      <c r="F120" s="1016"/>
    </row>
    <row r="121" spans="1:6" s="18" customFormat="1">
      <c r="A121" s="1013" t="s">
        <v>730</v>
      </c>
      <c r="B121" s="1014"/>
      <c r="C121" s="1015">
        <f>_xlfn.XLOOKUP($A121,$A$66:$A$97,$C$66:$C$97)*VLOOKUP($A121,Stationary_Fuel_Fctrs_unit,5,FALSE)</f>
        <v>0</v>
      </c>
      <c r="D121" s="1015">
        <f>_xlfn.XLOOKUP($A121,$A$66:$A$97,$C$66:$C$97)*VLOOKUP($A121,Stationary_Fuel_Fctrs_unit,6,FALSE)</f>
        <v>0</v>
      </c>
      <c r="E121" s="1015">
        <f>_xlfn.XLOOKUP($A121,$A$66:$A$97,$C$66:$C$97)*VLOOKUP($A121,Stationary_Fuel_Fctrs_unit,7,FALSE)</f>
        <v>0</v>
      </c>
      <c r="F121" s="1016"/>
    </row>
    <row r="122" spans="1:6" s="18" customFormat="1">
      <c r="A122" s="1013" t="s">
        <v>731</v>
      </c>
      <c r="B122" s="1014"/>
      <c r="C122" s="1015">
        <f>_xlfn.XLOOKUP($A122,$A$66:$A$97,$C$66:$C$97)*VLOOKUP($A122,Stationary_Fuel_Fctrs_unit,5,FALSE)</f>
        <v>0</v>
      </c>
      <c r="D122" s="1015">
        <f>_xlfn.XLOOKUP($A122,$A$66:$A$97,$C$66:$C$97)*VLOOKUP($A122,Stationary_Fuel_Fctrs_unit,6,FALSE)</f>
        <v>0</v>
      </c>
      <c r="E122" s="1015">
        <f>_xlfn.XLOOKUP($A122,$A$66:$A$97,$C$66:$C$97)*VLOOKUP($A122,Stationary_Fuel_Fctrs_unit,7,FALSE)</f>
        <v>0</v>
      </c>
      <c r="F122" s="1016"/>
    </row>
    <row r="123" spans="1:6" s="18" customFormat="1">
      <c r="A123" s="1013" t="s">
        <v>169</v>
      </c>
      <c r="B123" s="1014"/>
      <c r="C123" s="1015">
        <f>_xlfn.XLOOKUP($A123,$A$66:$A$97,$C$66:$C$97)*VLOOKUP($A123,Stationary_Fuel_Fctrs_unit,5,FALSE)</f>
        <v>0</v>
      </c>
      <c r="D123" s="1015">
        <f>_xlfn.XLOOKUP($A123,$A$66:$A$97,$C$66:$C$97)*VLOOKUP($A123,Stationary_Fuel_Fctrs_unit,6,FALSE)</f>
        <v>0</v>
      </c>
      <c r="E123" s="1015">
        <f>_xlfn.XLOOKUP($A123,$A$66:$A$97,$C$66:$C$97)*VLOOKUP($A123,Stationary_Fuel_Fctrs_unit,7,FALSE)</f>
        <v>0</v>
      </c>
      <c r="F123" s="1016"/>
    </row>
    <row r="124" spans="1:6" s="18" customFormat="1">
      <c r="A124" s="993" t="s">
        <v>733</v>
      </c>
      <c r="B124" s="994"/>
      <c r="C124" s="1015">
        <f>_xlfn.XLOOKUP($A124,$A$66:$A$97,$C$66:$C$97)*VLOOKUP($A124,Stationary_Fuel_Fctrs_unit,5,FALSE)</f>
        <v>0</v>
      </c>
      <c r="D124" s="1015">
        <f>_xlfn.XLOOKUP($A124,$A$66:$A$97,$C$66:$C$97)*VLOOKUP($A124,Stationary_Fuel_Fctrs_unit,6,FALSE)</f>
        <v>0</v>
      </c>
      <c r="E124" s="1015">
        <f>_xlfn.XLOOKUP($A124,$A$66:$A$97,$C$66:$C$97)*VLOOKUP($A124,Stationary_Fuel_Fctrs_unit,7,FALSE)</f>
        <v>0</v>
      </c>
      <c r="F124" s="1016"/>
    </row>
    <row r="125" spans="1:6" s="18" customFormat="1">
      <c r="A125" s="1020" t="s">
        <v>209</v>
      </c>
      <c r="B125" s="1021"/>
      <c r="C125" s="1022">
        <f>SUM(C101:C124)</f>
        <v>3820350.8756419201</v>
      </c>
      <c r="D125" s="1022">
        <f>SUM(D101:D124)</f>
        <v>72280.701725040009</v>
      </c>
      <c r="E125" s="1022">
        <f>SUM(E101:E124)</f>
        <v>7017.5438568000009</v>
      </c>
      <c r="F125" s="1016"/>
    </row>
    <row r="126" spans="1:6" s="18" customFormat="1">
      <c r="A126" s="1186" t="s">
        <v>1328</v>
      </c>
      <c r="B126" s="1186"/>
      <c r="C126" s="1186"/>
      <c r="D126" s="1186"/>
      <c r="E126" s="1186"/>
      <c r="F126" s="1016"/>
    </row>
    <row r="127" spans="1:6" s="18" customFormat="1">
      <c r="A127" s="1013" t="s">
        <v>1317</v>
      </c>
      <c r="B127" s="1014"/>
      <c r="C127" s="1015">
        <f>_xlfn.XLOOKUP($A127,$A$66:$A$97,$C$66:$C$97)*VLOOKUP($A127,Stationary_Fuel_Fctrs_unit,5,FALSE)</f>
        <v>0</v>
      </c>
      <c r="D127" s="1015">
        <f>_xlfn.XLOOKUP($A127,$A$66:$A$97,$C$66:$C$97)*VLOOKUP($A127,Stationary_Fuel_Fctrs_unit,6,FALSE)</f>
        <v>0</v>
      </c>
      <c r="E127" s="1015">
        <f>_xlfn.XLOOKUP($A127,$A$66:$A$97,$C$66:$C$97)*VLOOKUP($A127,Stationary_Fuel_Fctrs_unit,7,FALSE)</f>
        <v>0</v>
      </c>
      <c r="F127" s="1016"/>
    </row>
    <row r="128" spans="1:6" s="18" customFormat="1">
      <c r="A128" s="1013" t="s">
        <v>1318</v>
      </c>
      <c r="B128" s="1014"/>
      <c r="C128" s="1015">
        <f>_xlfn.XLOOKUP($A128,$A$66:$A$97,$C$66:$C$97)*VLOOKUP($A128,Stationary_Fuel_Fctrs_unit,5,FALSE)</f>
        <v>0</v>
      </c>
      <c r="D128" s="1015">
        <f>_xlfn.XLOOKUP($A128,$A$66:$A$97,$C$66:$C$97)*VLOOKUP($A128,Stationary_Fuel_Fctrs_unit,6,FALSE)</f>
        <v>0</v>
      </c>
      <c r="E128" s="1015">
        <f>_xlfn.XLOOKUP($A128,$A$66:$A$97,$C$66:$C$97)*VLOOKUP($A128,Stationary_Fuel_Fctrs_unit,7,FALSE)</f>
        <v>0</v>
      </c>
      <c r="F128" s="1016"/>
    </row>
    <row r="129" spans="1:30" s="18" customFormat="1">
      <c r="A129" s="1013" t="s">
        <v>1319</v>
      </c>
      <c r="B129" s="1014"/>
      <c r="C129" s="1015">
        <f>_xlfn.XLOOKUP($A129,$A$66:$A$97,$C$66:$C$97)*VLOOKUP($A129,Stationary_Fuel_Fctrs_unit,5,FALSE)</f>
        <v>0</v>
      </c>
      <c r="D129" s="1015">
        <f>_xlfn.XLOOKUP($A129,$A$66:$A$97,$C$66:$C$97)*VLOOKUP($A129,Stationary_Fuel_Fctrs_unit,6,FALSE)</f>
        <v>0</v>
      </c>
      <c r="E129" s="1015">
        <f>_xlfn.XLOOKUP($A129,$A$66:$A$97,$C$66:$C$97)*VLOOKUP($A129,Stationary_Fuel_Fctrs_unit,7,FALSE)</f>
        <v>0</v>
      </c>
      <c r="F129" s="1016"/>
    </row>
    <row r="130" spans="1:30" s="18" customFormat="1">
      <c r="A130" s="1017" t="s">
        <v>732</v>
      </c>
      <c r="B130" s="1018"/>
      <c r="C130" s="1015">
        <f>_xlfn.XLOOKUP($A130,$A$66:$A$97,$C$66:$C$97)*VLOOKUP($A130,Stationary_Fuel_Fctrs_unit,5,FALSE)</f>
        <v>0</v>
      </c>
      <c r="D130" s="1015">
        <f>_xlfn.XLOOKUP($A130,$A$66:$A$97,$C$66:$C$97)*VLOOKUP($A130,Stationary_Fuel_Fctrs_unit,6,FALSE)</f>
        <v>0</v>
      </c>
      <c r="E130" s="1015">
        <f>_xlfn.XLOOKUP($A130,$A$66:$A$97,$C$66:$C$97)*VLOOKUP($A130,Stationary_Fuel_Fctrs_unit,7,FALSE)</f>
        <v>0</v>
      </c>
      <c r="F130" s="1016"/>
    </row>
    <row r="131" spans="1:30" s="18" customFormat="1">
      <c r="A131" s="1180" t="s">
        <v>1332</v>
      </c>
      <c r="B131" s="1181"/>
      <c r="C131" s="1181"/>
      <c r="D131" s="1181"/>
      <c r="E131" s="1182"/>
      <c r="F131" s="1016"/>
    </row>
    <row r="132" spans="1:30" s="18" customFormat="1">
      <c r="A132" s="1023" t="s">
        <v>737</v>
      </c>
      <c r="B132" s="1014"/>
      <c r="C132" s="1015">
        <f>$C71*VLOOKUP($A132,Stationary_Fuel_Fctrs_unit,5,FALSE)</f>
        <v>0</v>
      </c>
      <c r="D132" s="1015">
        <f>$C71*VLOOKUP($A132,Stationary_Fuel_Fctrs_unit,6,FALSE)</f>
        <v>0</v>
      </c>
      <c r="E132" s="1015">
        <f>$C71*VLOOKUP($A132,Stationary_Fuel_Fctrs_unit,7,FALSE)</f>
        <v>0</v>
      </c>
      <c r="F132" s="1016"/>
    </row>
    <row r="133" spans="1:30" s="18" customFormat="1">
      <c r="A133" s="1007" t="s">
        <v>736</v>
      </c>
      <c r="B133" s="1014"/>
      <c r="C133" s="1015">
        <f>$C72*VLOOKUP($A133,Stationary_Fuel_Fctrs_unit,5,FALSE)</f>
        <v>0</v>
      </c>
      <c r="D133" s="1015">
        <f>$C72*VLOOKUP($A133,Stationary_Fuel_Fctrs_unit,6,FALSE)</f>
        <v>0</v>
      </c>
      <c r="E133" s="1015">
        <f>$C72*VLOOKUP($A133,Stationary_Fuel_Fctrs_unit,7,FALSE)</f>
        <v>0</v>
      </c>
      <c r="F133" s="1016"/>
    </row>
    <row r="134" spans="1:30" s="18" customFormat="1">
      <c r="A134" s="1007" t="s">
        <v>1333</v>
      </c>
      <c r="B134" s="994"/>
      <c r="C134" s="1015">
        <f>$C67*VLOOKUP($A134,Stationary_Fuel_Fctrs_unit,5,FALSE)</f>
        <v>0</v>
      </c>
      <c r="D134" s="1015">
        <f>$C67*VLOOKUP($A134,Stationary_Fuel_Fctrs_unit,6,FALSE)</f>
        <v>0</v>
      </c>
      <c r="E134" s="1015">
        <f>$C67*VLOOKUP($A134,Stationary_Fuel_Fctrs_unit,7,FALSE)</f>
        <v>0</v>
      </c>
      <c r="F134" s="1016"/>
    </row>
    <row r="135" spans="1:30" s="18" customFormat="1">
      <c r="A135" s="1024" t="s">
        <v>1334</v>
      </c>
      <c r="B135" s="1008"/>
      <c r="C135" s="1019">
        <f>$C68*VLOOKUP($A135,Stationary_Fuel_Fctrs_unit,5,FALSE)</f>
        <v>0</v>
      </c>
      <c r="D135" s="1019">
        <f>$C68*VLOOKUP($A135,Stationary_Fuel_Fctrs_unit,6,FALSE)</f>
        <v>0</v>
      </c>
      <c r="E135" s="1019">
        <f>$C68*VLOOKUP($A135,Stationary_Fuel_Fctrs_unit,7,FALSE)</f>
        <v>0</v>
      </c>
      <c r="F135" s="1016"/>
    </row>
    <row r="136" spans="1:30" ht="13.5" thickBot="1">
      <c r="A136" s="1025" t="s">
        <v>210</v>
      </c>
      <c r="B136" s="1026"/>
      <c r="C136" s="1027">
        <f>SUM(C127:C135)</f>
        <v>0</v>
      </c>
      <c r="D136" s="1027">
        <f>SUM(D127:D135)</f>
        <v>0</v>
      </c>
      <c r="E136" s="1027">
        <f>SUM(E127:E135)</f>
        <v>0</v>
      </c>
      <c r="F136" s="1016"/>
    </row>
    <row r="137" spans="1:30" ht="13.5" thickBot="1">
      <c r="A137" s="1028" t="s">
        <v>176</v>
      </c>
      <c r="B137" s="1029"/>
      <c r="C137" s="1030">
        <f>C125+C136</f>
        <v>3820350.8756419201</v>
      </c>
      <c r="D137" s="1030">
        <f>D125+D136</f>
        <v>72280.701725040009</v>
      </c>
      <c r="E137" s="1031">
        <f>E125+E136</f>
        <v>7017.5438568000009</v>
      </c>
      <c r="F137" s="1016"/>
      <c r="G137" s="1032"/>
    </row>
    <row r="138" spans="1:30" ht="13.5" thickBot="1">
      <c r="A138" s="162"/>
      <c r="B138" s="162"/>
      <c r="C138" s="162"/>
      <c r="D138" s="162"/>
      <c r="E138" s="162"/>
      <c r="F138" s="162"/>
      <c r="G138" s="336"/>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row>
    <row r="139" spans="1:30">
      <c r="A139" s="21"/>
      <c r="B139" s="26"/>
      <c r="C139" s="22"/>
      <c r="D139" s="22"/>
      <c r="E139" s="23"/>
      <c r="F139" s="162"/>
      <c r="G139" s="227"/>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row>
    <row r="140" spans="1:30" ht="15" thickBot="1">
      <c r="A140" s="24" t="s">
        <v>488</v>
      </c>
      <c r="B140" s="220"/>
      <c r="C140" s="25"/>
      <c r="D140" s="25"/>
      <c r="E140" s="158">
        <f>(C125+(D125/1000*CH4_GWP)+(E125/1000*N2O_GWP)+(D136/1000*CH4_GWP)+(E136/1000*N2O_GWP))/1000</f>
        <v>3824.2491212543723</v>
      </c>
      <c r="F140" s="162"/>
      <c r="G140" s="336"/>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row>
    <row r="141" spans="1:30">
      <c r="A141" s="32"/>
      <c r="B141" s="40"/>
      <c r="C141" s="40"/>
      <c r="D141" s="33"/>
      <c r="E141" s="159"/>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row>
    <row r="142" spans="1:30" ht="15" thickBot="1">
      <c r="A142" s="34" t="s">
        <v>489</v>
      </c>
      <c r="B142" s="41"/>
      <c r="C142" s="41"/>
      <c r="D142" s="35"/>
      <c r="E142" s="160">
        <f>(C136/1000)</f>
        <v>0</v>
      </c>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row>
    <row r="143" spans="1:30">
      <c r="A143" s="4"/>
      <c r="B143" s="4"/>
      <c r="C143" s="4"/>
      <c r="D143" s="4"/>
      <c r="E143" s="4"/>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row>
    <row r="144" spans="1:30">
      <c r="A144" s="69"/>
      <c r="B144" s="4"/>
      <c r="C144" s="4"/>
      <c r="D144" s="4"/>
      <c r="E144" s="4"/>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row>
    <row r="145" spans="1:30">
      <c r="A145" s="69"/>
      <c r="B145" s="4"/>
      <c r="C145" s="4"/>
      <c r="D145" s="4"/>
      <c r="E145" s="4"/>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row>
    <row r="146" spans="1:30">
      <c r="A146" s="337"/>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row>
    <row r="147" spans="1:30">
      <c r="A147" s="31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row>
    <row r="148" spans="1:30">
      <c r="A148" s="337"/>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row>
    <row r="149" spans="1:30">
      <c r="A149" s="312"/>
      <c r="B149" s="31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row>
    <row r="150" spans="1:30">
      <c r="A150" s="31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row>
    <row r="151" spans="1:30">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row>
    <row r="152" spans="1:30">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row>
    <row r="153" spans="1:30">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row>
    <row r="154" spans="1:30">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row>
    <row r="155" spans="1:30">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row>
    <row r="156" spans="1:30">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row>
    <row r="157" spans="1:30">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row>
    <row r="158" spans="1:30">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row>
    <row r="159" spans="1:30">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row>
    <row r="160" spans="1:30">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row>
    <row r="161" spans="1:30">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row>
    <row r="162" spans="1:30">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row>
    <row r="163" spans="1:30">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row>
    <row r="164" spans="1:30">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row>
    <row r="165" spans="1:30">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row>
    <row r="166" spans="1:30">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row>
    <row r="167" spans="1:30">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row>
    <row r="168" spans="1:30">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row>
    <row r="169" spans="1:30">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row>
    <row r="170" spans="1:30">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row>
    <row r="171" spans="1:30">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row>
    <row r="172" spans="1:30">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row>
    <row r="173" spans="1:30">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row>
    <row r="174" spans="1:30">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row>
    <row r="175" spans="1:30">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row>
    <row r="176" spans="1:30">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row>
    <row r="177" spans="1:30">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row>
    <row r="178" spans="1:30">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row>
    <row r="179" spans="1:30">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row>
    <row r="180" spans="1:30">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row>
    <row r="181" spans="1:30">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row>
    <row r="182" spans="1:30">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row>
    <row r="183" spans="1:30">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row>
    <row r="184" spans="1:30">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row>
    <row r="185" spans="1:30">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row>
    <row r="186" spans="1:30">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row>
    <row r="187" spans="1:30">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row>
    <row r="188" spans="1:30">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row>
    <row r="189" spans="1:30">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row>
    <row r="190" spans="1:30">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row>
    <row r="191" spans="1:30">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row>
    <row r="192" spans="1:30">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row>
    <row r="193" spans="1:30">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row>
    <row r="194" spans="1:30">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row>
    <row r="195" spans="1:30">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row>
    <row r="196" spans="1:30">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row>
    <row r="197" spans="1:30">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row>
    <row r="198" spans="1:30">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row>
    <row r="199" spans="1:30">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row>
    <row r="200" spans="1:30">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row>
    <row r="201" spans="1:30">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row>
    <row r="202" spans="1:30">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row>
    <row r="203" spans="1:30">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row>
    <row r="204" spans="1:30">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row>
    <row r="205" spans="1:30">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row>
    <row r="206" spans="1:30">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row>
    <row r="207" spans="1:30">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row>
    <row r="208" spans="1:30">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row>
    <row r="209" spans="1:30">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row>
    <row r="210" spans="1:30">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row>
    <row r="211" spans="1:30">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row>
    <row r="212" spans="1:30">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row>
    <row r="213" spans="1:30">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row>
    <row r="214" spans="1:30">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row>
    <row r="215" spans="1:30">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row>
    <row r="216" spans="1:30">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row>
    <row r="217" spans="1:30">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row>
    <row r="218" spans="1:30">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row>
    <row r="219" spans="1:30">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row>
    <row r="220" spans="1:30">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row>
    <row r="221" spans="1:30">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row>
    <row r="222" spans="1:30">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row>
    <row r="223" spans="1:30">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row>
    <row r="224" spans="1:30">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row>
    <row r="225" spans="1:30">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row>
    <row r="226" spans="1:30">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row>
    <row r="227" spans="1:30">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row>
    <row r="228" spans="1:30">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row>
    <row r="229" spans="1:30">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row>
    <row r="230" spans="1:30">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row>
    <row r="231" spans="1:30">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row>
    <row r="232" spans="1:30">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row>
    <row r="233" spans="1:30">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row>
    <row r="234" spans="1:30">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row>
    <row r="235" spans="1:30">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row>
    <row r="236" spans="1:30">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row>
    <row r="237" spans="1:30">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row>
    <row r="238" spans="1:30">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row>
    <row r="239" spans="1:30">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row>
    <row r="240" spans="1:30">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row>
    <row r="241" spans="1:30">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row>
    <row r="242" spans="1:30">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row>
    <row r="243" spans="1:30">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row>
  </sheetData>
  <protectedRanges>
    <protectedRange sqref="C16 F16:F58 A16:B58 C18:C58" name="Range1"/>
  </protectedRanges>
  <mergeCells count="13">
    <mergeCell ref="G13:G14"/>
    <mergeCell ref="A9:G9"/>
    <mergeCell ref="A100:B100"/>
    <mergeCell ref="A8:E8"/>
    <mergeCell ref="A6:E6"/>
    <mergeCell ref="A63:B64"/>
    <mergeCell ref="D63:D64"/>
    <mergeCell ref="A120:E120"/>
    <mergeCell ref="A131:E131"/>
    <mergeCell ref="A101:E101"/>
    <mergeCell ref="A116:E116"/>
    <mergeCell ref="A126:E126"/>
    <mergeCell ref="A111:E111"/>
  </mergeCells>
  <phoneticPr fontId="11" type="noConversion"/>
  <dataValidations count="2">
    <dataValidation type="list" allowBlank="1" showInputMessage="1" showErrorMessage="1" sqref="D15:D58" xr:uid="{00000000-0002-0000-0300-000000000000}">
      <formula1>Fuel_Type</formula1>
    </dataValidation>
    <dataValidation type="list" allowBlank="1" showInputMessage="1" showErrorMessage="1" sqref="G15:G58" xr:uid="{00950E1C-68D6-427A-8988-CE6AB372E2E1}">
      <formula1>INDIRECT($E15)</formula1>
    </dataValidation>
  </dataValidations>
  <pageMargins left="0.25" right="0.25" top="0.25" bottom="0.5" header="0.5" footer="0.25"/>
  <pageSetup scale="93" orientation="portrait" r:id="rId1"/>
  <headerFooter alignWithMargins="0">
    <oddFooter>&amp;L&amp;"Arial,Italic"&amp;9EPA Climate Leaders Simplified GHG Emissions Calculator (Direct 1.0)&amp;R&amp;"Arial,Italic"&amp;9&amp;P of &amp;N</oddFooter>
  </headerFooter>
  <rowBreaks count="1" manualBreakCount="1">
    <brk id="58" max="16383" man="1"/>
  </rowBreaks>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D362"/>
  <sheetViews>
    <sheetView showGridLines="0" topLeftCell="A11" zoomScaleNormal="80" workbookViewId="0">
      <selection activeCell="H30" sqref="H30"/>
    </sheetView>
  </sheetViews>
  <sheetFormatPr defaultColWidth="8.85546875" defaultRowHeight="12.75"/>
  <cols>
    <col min="1" max="1" width="29.140625" customWidth="1"/>
    <col min="2" max="2" width="22.42578125" customWidth="1"/>
    <col min="3" max="3" width="13.140625" customWidth="1"/>
    <col min="4" max="4" width="46.140625" customWidth="1"/>
    <col min="5" max="5" width="11.85546875" customWidth="1"/>
    <col min="6" max="6" width="40.42578125" customWidth="1"/>
    <col min="7" max="7" width="11.85546875" customWidth="1"/>
    <col min="8" max="8" width="10" customWidth="1"/>
    <col min="9" max="10" width="9.85546875" customWidth="1"/>
    <col min="14" max="14" width="11.140625" bestFit="1" customWidth="1"/>
    <col min="17" max="17" width="22.42578125" bestFit="1" customWidth="1"/>
    <col min="18" max="18" width="23.85546875" bestFit="1" customWidth="1"/>
    <col min="19" max="19" width="26.42578125" bestFit="1" customWidth="1"/>
    <col min="20" max="20" width="20.140625" bestFit="1" customWidth="1"/>
    <col min="21" max="21" width="21.85546875" bestFit="1" customWidth="1"/>
  </cols>
  <sheetData>
    <row r="1" spans="1:30"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row>
    <row r="2" spans="1:30"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row>
    <row r="3" spans="1:30" ht="15">
      <c r="A3" s="5" t="s">
        <v>798</v>
      </c>
      <c r="B3" s="5"/>
      <c r="C3" s="4"/>
      <c r="D3" s="6"/>
      <c r="E3" s="4"/>
      <c r="F3" s="4"/>
      <c r="G3" s="4"/>
      <c r="H3" s="162"/>
      <c r="I3" s="162"/>
      <c r="J3" s="162"/>
      <c r="K3" s="162"/>
      <c r="L3" s="162"/>
      <c r="M3" s="162"/>
      <c r="N3" s="162"/>
      <c r="O3" s="162"/>
      <c r="P3" s="162"/>
      <c r="Q3" s="162"/>
      <c r="R3" s="162"/>
      <c r="S3" s="162"/>
      <c r="T3" s="162"/>
      <c r="U3" s="162"/>
      <c r="V3" s="162"/>
      <c r="W3" s="162"/>
      <c r="X3" s="162"/>
      <c r="Y3" s="162"/>
      <c r="Z3" s="162"/>
      <c r="AA3" s="162"/>
      <c r="AB3" s="162"/>
      <c r="AC3" s="162"/>
      <c r="AD3" s="162"/>
    </row>
    <row r="4" spans="1:30">
      <c r="A4" s="4"/>
      <c r="B4" s="4"/>
      <c r="C4" s="4"/>
      <c r="D4" s="4"/>
      <c r="E4" s="4"/>
      <c r="F4" s="4"/>
      <c r="G4" s="4"/>
      <c r="H4" s="162"/>
      <c r="I4" s="162"/>
      <c r="J4" s="162"/>
      <c r="K4" s="162"/>
      <c r="L4" s="162"/>
      <c r="M4" s="162"/>
      <c r="N4" s="162"/>
      <c r="O4" s="162"/>
      <c r="P4" s="162"/>
      <c r="Q4" s="162"/>
      <c r="R4" s="162"/>
      <c r="S4" s="162"/>
      <c r="T4" s="162"/>
      <c r="U4" s="162"/>
      <c r="V4" s="162"/>
      <c r="W4" s="162"/>
      <c r="X4" s="162"/>
      <c r="Y4" s="162"/>
      <c r="Z4" s="162"/>
      <c r="AA4" s="162"/>
      <c r="AB4" s="162"/>
      <c r="AC4" s="162"/>
      <c r="AD4" s="162"/>
    </row>
    <row r="5" spans="1:30">
      <c r="A5" s="161" t="s">
        <v>293</v>
      </c>
      <c r="B5" s="162"/>
      <c r="C5" s="162"/>
      <c r="D5" s="162"/>
      <c r="E5" s="162"/>
      <c r="F5" s="162"/>
      <c r="G5" s="162"/>
      <c r="H5" s="162"/>
      <c r="I5" s="162"/>
      <c r="J5" s="162"/>
      <c r="K5" s="162"/>
      <c r="L5" s="162"/>
      <c r="M5" s="163"/>
      <c r="N5" s="163"/>
      <c r="O5" s="162"/>
      <c r="P5" s="162"/>
      <c r="Q5" s="162"/>
      <c r="R5" s="162"/>
      <c r="S5" s="162"/>
      <c r="T5" s="162"/>
      <c r="U5" s="162"/>
      <c r="V5" s="162"/>
      <c r="W5" s="162"/>
      <c r="X5" s="162"/>
      <c r="Y5" s="162"/>
      <c r="Z5" s="162"/>
      <c r="AA5" s="162"/>
      <c r="AB5" s="162"/>
      <c r="AC5" s="162"/>
      <c r="AD5" s="162"/>
    </row>
    <row r="6" spans="1:30" ht="53.25" customHeight="1">
      <c r="A6" s="1220" t="s">
        <v>1193</v>
      </c>
      <c r="B6" s="1221"/>
      <c r="C6" s="1221"/>
      <c r="D6" s="1221"/>
      <c r="E6" s="1221"/>
      <c r="F6" s="1221"/>
      <c r="G6" s="1221"/>
      <c r="H6" s="162"/>
      <c r="I6" s="162"/>
      <c r="J6" s="162"/>
      <c r="K6" s="162"/>
      <c r="L6" s="162"/>
      <c r="M6" s="162"/>
      <c r="N6" s="162"/>
      <c r="O6" s="162"/>
      <c r="P6" s="162"/>
      <c r="Q6" s="162"/>
      <c r="R6" s="162"/>
      <c r="S6" s="162"/>
      <c r="T6" s="162"/>
      <c r="U6" s="162"/>
      <c r="V6" s="162"/>
      <c r="W6" s="162"/>
      <c r="X6" s="162"/>
      <c r="Y6" s="162"/>
      <c r="Z6" s="162"/>
      <c r="AA6" s="162"/>
      <c r="AB6" s="162"/>
      <c r="AC6" s="162"/>
      <c r="AD6" s="162"/>
    </row>
    <row r="7" spans="1:30">
      <c r="A7" s="1223" t="s">
        <v>1338</v>
      </c>
      <c r="B7" s="1223"/>
      <c r="C7" s="1223"/>
      <c r="D7" s="1223"/>
      <c r="E7" s="1223"/>
      <c r="F7" s="1223"/>
      <c r="G7" s="1223"/>
      <c r="H7" s="1223"/>
      <c r="I7" s="1223"/>
      <c r="J7" s="162"/>
      <c r="K7" s="162"/>
      <c r="L7" s="162"/>
      <c r="M7" s="162"/>
      <c r="N7" s="162"/>
      <c r="O7" s="162"/>
      <c r="P7" s="162"/>
      <c r="Q7" s="162"/>
      <c r="R7" s="162"/>
      <c r="S7" s="162"/>
      <c r="T7" s="162"/>
      <c r="U7" s="162"/>
      <c r="V7" s="162"/>
      <c r="W7" s="162"/>
      <c r="X7" s="162"/>
      <c r="Y7" s="162"/>
      <c r="Z7" s="162"/>
      <c r="AA7" s="162"/>
      <c r="AB7" s="162"/>
      <c r="AC7" s="162"/>
      <c r="AD7" s="162"/>
    </row>
    <row r="8" spans="1:30">
      <c r="A8" s="1222" t="s">
        <v>1309</v>
      </c>
      <c r="B8" s="1189"/>
      <c r="C8" s="1189"/>
      <c r="D8" s="1189"/>
      <c r="E8" s="1189"/>
      <c r="F8" s="1189"/>
      <c r="G8" s="1189"/>
      <c r="H8" s="1189"/>
      <c r="I8" s="1189"/>
      <c r="J8" s="162"/>
      <c r="K8" s="162"/>
      <c r="L8" s="162"/>
      <c r="M8" s="162"/>
      <c r="N8" s="162"/>
      <c r="O8" s="162"/>
      <c r="P8" s="162"/>
      <c r="Q8" s="162"/>
      <c r="R8" s="162"/>
      <c r="S8" s="162"/>
      <c r="T8" s="162"/>
      <c r="U8" s="162"/>
      <c r="V8" s="162"/>
      <c r="W8" s="162"/>
      <c r="X8" s="162"/>
      <c r="Y8" s="162"/>
      <c r="Z8" s="162"/>
      <c r="AA8" s="162"/>
      <c r="AB8" s="162"/>
      <c r="AC8" s="162"/>
      <c r="AD8" s="162"/>
    </row>
    <row r="9" spans="1:30">
      <c r="A9" s="1189" t="s">
        <v>545</v>
      </c>
      <c r="B9" s="1189"/>
      <c r="C9" s="1189"/>
      <c r="D9" s="1189"/>
      <c r="E9" s="1189"/>
      <c r="F9" s="1189"/>
      <c r="G9" s="1189"/>
      <c r="H9" s="1189"/>
      <c r="I9" s="1189"/>
      <c r="J9" s="162"/>
      <c r="K9" s="162"/>
      <c r="L9" s="162"/>
      <c r="M9" s="162"/>
      <c r="N9" s="162"/>
      <c r="O9" s="162"/>
      <c r="P9" s="162"/>
      <c r="Q9" s="162"/>
      <c r="R9" s="162"/>
      <c r="S9" s="162"/>
      <c r="T9" s="162"/>
      <c r="U9" s="162"/>
      <c r="V9" s="162"/>
      <c r="W9" s="162"/>
      <c r="X9" s="162"/>
      <c r="Y9" s="162"/>
      <c r="Z9" s="162"/>
      <c r="AA9" s="162"/>
      <c r="AB9" s="162"/>
      <c r="AC9" s="162"/>
      <c r="AD9" s="162"/>
    </row>
    <row r="10" spans="1:30">
      <c r="A10" s="1189" t="s">
        <v>584</v>
      </c>
      <c r="B10" s="1189"/>
      <c r="C10" s="1189"/>
      <c r="D10" s="1189"/>
      <c r="E10" s="1189"/>
      <c r="F10" s="1189"/>
      <c r="G10" s="1189"/>
      <c r="H10" s="1189"/>
      <c r="I10" s="1189"/>
      <c r="J10" s="162"/>
      <c r="K10" s="162"/>
      <c r="L10" s="162"/>
      <c r="M10" s="162"/>
      <c r="N10" s="162"/>
      <c r="O10" s="162"/>
      <c r="P10" s="162"/>
      <c r="Q10" s="162"/>
      <c r="R10" s="162"/>
      <c r="S10" s="162"/>
      <c r="T10" s="162"/>
      <c r="U10" s="162"/>
      <c r="V10" s="162"/>
      <c r="W10" s="162"/>
      <c r="X10" s="162"/>
      <c r="Y10" s="162"/>
      <c r="Z10" s="162"/>
      <c r="AA10" s="162"/>
      <c r="AB10" s="162"/>
      <c r="AC10" s="162"/>
      <c r="AD10" s="162"/>
    </row>
    <row r="11" spans="1:30" ht="17.100000000000001" customHeight="1">
      <c r="A11" s="68" t="s">
        <v>546</v>
      </c>
      <c r="B11" s="765" t="s">
        <v>585</v>
      </c>
      <c r="C11" s="4"/>
      <c r="D11" s="9"/>
      <c r="E11" s="4"/>
      <c r="F11" s="4"/>
      <c r="G11" s="4"/>
      <c r="H11" s="162"/>
      <c r="I11" s="162"/>
      <c r="J11" s="162"/>
      <c r="K11" s="183"/>
      <c r="L11" s="162"/>
      <c r="M11" s="162"/>
      <c r="N11" s="183"/>
      <c r="O11" s="162"/>
      <c r="P11" s="162"/>
      <c r="Q11" s="162"/>
      <c r="R11" s="162"/>
      <c r="S11" s="162"/>
      <c r="T11" s="162"/>
      <c r="U11" s="162"/>
      <c r="V11" s="162"/>
      <c r="W11" s="162"/>
      <c r="X11" s="162"/>
      <c r="Y11" s="162"/>
      <c r="Z11" s="162"/>
      <c r="AA11" s="162"/>
      <c r="AB11" s="162"/>
      <c r="AC11" s="162"/>
      <c r="AD11" s="162"/>
    </row>
    <row r="12" spans="1:30">
      <c r="A12" s="68" t="s">
        <v>546</v>
      </c>
      <c r="B12" s="765" t="s">
        <v>1258</v>
      </c>
      <c r="C12" s="4"/>
      <c r="D12" s="9"/>
      <c r="E12" s="4"/>
      <c r="F12" s="4"/>
      <c r="G12" s="4"/>
      <c r="H12" s="162"/>
      <c r="I12" s="162"/>
      <c r="J12" s="162"/>
      <c r="K12" s="183"/>
      <c r="L12" s="162"/>
      <c r="M12" s="162"/>
      <c r="N12" s="183"/>
      <c r="O12" s="162"/>
      <c r="P12" s="162"/>
      <c r="Q12" s="162"/>
      <c r="R12" s="162"/>
      <c r="S12" s="162"/>
      <c r="T12" s="162"/>
      <c r="U12" s="162"/>
      <c r="V12" s="162"/>
      <c r="W12" s="162"/>
      <c r="X12" s="162"/>
      <c r="Y12" s="162"/>
      <c r="Z12" s="162"/>
      <c r="AA12" s="162"/>
      <c r="AB12" s="162"/>
      <c r="AC12" s="162"/>
      <c r="AD12" s="162"/>
    </row>
    <row r="13" spans="1:30" ht="30.95" customHeight="1">
      <c r="A13" s="1221" t="s">
        <v>586</v>
      </c>
      <c r="B13" s="1221"/>
      <c r="C13" s="1221"/>
      <c r="D13" s="1221"/>
      <c r="E13" s="1221"/>
      <c r="F13" s="1221"/>
      <c r="G13" s="1221"/>
      <c r="H13" s="162"/>
      <c r="I13" s="162"/>
      <c r="J13" s="162"/>
      <c r="K13" s="183"/>
      <c r="L13" s="162"/>
      <c r="M13" s="162"/>
      <c r="N13" s="162"/>
      <c r="O13" s="162"/>
      <c r="P13" s="162"/>
      <c r="Q13" s="162"/>
      <c r="R13" s="162"/>
      <c r="S13" s="162"/>
      <c r="T13" s="162"/>
      <c r="U13" s="162"/>
      <c r="V13" s="162"/>
      <c r="W13" s="162"/>
      <c r="X13" s="162"/>
      <c r="Y13" s="162"/>
      <c r="Z13" s="162"/>
      <c r="AA13" s="162"/>
      <c r="AB13" s="162"/>
      <c r="AC13" s="162"/>
      <c r="AD13" s="162"/>
    </row>
    <row r="14" spans="1:30">
      <c r="A14" s="4"/>
      <c r="B14" s="4"/>
      <c r="C14" s="9"/>
      <c r="D14" s="9"/>
      <c r="E14" s="4"/>
      <c r="F14" s="4"/>
      <c r="G14" s="4"/>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row>
    <row r="15" spans="1:30">
      <c r="A15" s="4"/>
      <c r="B15" s="84"/>
      <c r="C15" s="435" t="s">
        <v>544</v>
      </c>
      <c r="D15" s="28">
        <v>20</v>
      </c>
      <c r="E15" s="4" t="s">
        <v>184</v>
      </c>
      <c r="F15" s="162"/>
      <c r="G15" s="4"/>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row>
    <row r="16" spans="1:30">
      <c r="A16" s="4"/>
      <c r="B16" s="84"/>
      <c r="C16" s="435" t="s">
        <v>315</v>
      </c>
      <c r="D16" s="28">
        <v>80</v>
      </c>
      <c r="E16" s="4" t="s">
        <v>184</v>
      </c>
      <c r="F16" s="162"/>
      <c r="G16" s="4"/>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row>
    <row r="17" spans="1:30" ht="15.6" customHeight="1">
      <c r="A17" s="1220" t="s">
        <v>1257</v>
      </c>
      <c r="B17" s="1221"/>
      <c r="C17" s="1221"/>
      <c r="D17" s="1221"/>
      <c r="E17" s="1221"/>
      <c r="F17" s="1221"/>
      <c r="G17" s="1221"/>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row>
    <row r="18" spans="1:30">
      <c r="A18" s="9"/>
      <c r="B18" s="9"/>
      <c r="C18" s="4"/>
      <c r="D18" s="9"/>
      <c r="E18" s="4"/>
      <c r="F18" s="4"/>
      <c r="G18" s="4"/>
      <c r="H18" s="162"/>
      <c r="I18" s="162"/>
      <c r="J18" s="162"/>
      <c r="K18" s="162"/>
      <c r="L18" s="162"/>
      <c r="M18" s="162"/>
      <c r="N18" s="162"/>
      <c r="O18" s="162"/>
      <c r="P18" s="162"/>
      <c r="Q18" s="338"/>
      <c r="R18" s="338"/>
      <c r="S18" s="338"/>
      <c r="T18" s="338"/>
      <c r="U18" s="338"/>
      <c r="V18" s="162"/>
      <c r="W18" s="162"/>
      <c r="X18" s="162"/>
      <c r="Y18" s="162"/>
      <c r="Z18" s="162"/>
      <c r="AA18" s="162"/>
      <c r="AB18" s="162"/>
      <c r="AC18" s="162"/>
      <c r="AD18" s="162"/>
    </row>
    <row r="19" spans="1:30" ht="13.5" thickBot="1">
      <c r="A19" s="7" t="s">
        <v>101</v>
      </c>
      <c r="B19" s="7"/>
      <c r="C19" s="9"/>
      <c r="D19" s="9"/>
      <c r="E19" s="4"/>
      <c r="F19" s="4"/>
      <c r="G19" s="4"/>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row>
    <row r="20" spans="1:30">
      <c r="A20" s="962" t="s">
        <v>153</v>
      </c>
      <c r="B20" s="13" t="s">
        <v>153</v>
      </c>
      <c r="C20" s="1203" t="s">
        <v>1211</v>
      </c>
      <c r="D20" s="963" t="s">
        <v>188</v>
      </c>
      <c r="E20" s="13" t="s">
        <v>188</v>
      </c>
      <c r="F20" s="963" t="s">
        <v>154</v>
      </c>
      <c r="G20" s="13" t="s">
        <v>159</v>
      </c>
      <c r="H20" s="45" t="s">
        <v>193</v>
      </c>
      <c r="I20" s="162"/>
      <c r="J20" s="162"/>
      <c r="K20" s="162"/>
      <c r="L20" s="162"/>
      <c r="M20" s="162"/>
      <c r="N20" s="162"/>
      <c r="O20" s="162"/>
      <c r="P20" s="162"/>
      <c r="Q20" s="161"/>
      <c r="R20" s="338"/>
      <c r="S20" s="338"/>
      <c r="T20" s="338"/>
      <c r="U20" s="338"/>
      <c r="V20" s="162"/>
      <c r="W20" s="162"/>
      <c r="X20" s="162"/>
      <c r="Y20" s="162"/>
      <c r="Z20" s="162"/>
      <c r="AA20" s="162"/>
      <c r="AB20" s="162"/>
      <c r="AC20" s="162"/>
      <c r="AD20" s="162"/>
    </row>
    <row r="21" spans="1:30" ht="13.5" thickBot="1">
      <c r="A21" s="960" t="s">
        <v>156</v>
      </c>
      <c r="B21" s="16" t="s">
        <v>157</v>
      </c>
      <c r="C21" s="1204"/>
      <c r="D21" s="961" t="s">
        <v>191</v>
      </c>
      <c r="E21" s="16" t="s">
        <v>192</v>
      </c>
      <c r="F21" s="961" t="s">
        <v>13</v>
      </c>
      <c r="G21" s="16"/>
      <c r="H21" s="114" t="s">
        <v>102</v>
      </c>
      <c r="I21" s="162"/>
      <c r="J21" s="162"/>
      <c r="K21" s="162"/>
      <c r="L21" s="162"/>
      <c r="M21" s="162"/>
      <c r="N21" s="162"/>
      <c r="O21" s="162"/>
      <c r="P21" s="162"/>
      <c r="Q21" s="162"/>
      <c r="R21" s="162"/>
      <c r="S21" s="162"/>
      <c r="T21" s="162"/>
      <c r="U21" s="162"/>
      <c r="V21" s="162"/>
      <c r="W21" s="162"/>
      <c r="X21" s="162"/>
      <c r="Y21" s="162"/>
      <c r="Z21" s="162"/>
      <c r="AA21" s="162"/>
      <c r="AB21" s="162"/>
      <c r="AC21" s="162"/>
      <c r="AD21" s="162"/>
    </row>
    <row r="22" spans="1:30">
      <c r="A22" s="448" t="s">
        <v>197</v>
      </c>
      <c r="B22" s="451" t="s">
        <v>198</v>
      </c>
      <c r="C22" s="449" t="s">
        <v>1241</v>
      </c>
      <c r="D22" s="449" t="s">
        <v>1125</v>
      </c>
      <c r="E22" s="900">
        <v>2019</v>
      </c>
      <c r="F22" s="450">
        <v>500</v>
      </c>
      <c r="G22" s="613" t="str">
        <f t="shared" ref="G22:G85" si="0">IF($D22="","",IF(OR($D22="Light-Duty Cars - CNG",$D22="Light-Duty Trucks - CNG",$D22="Medium-Duty Trucks - CNG",$D22="Heavy-Duty Trucks - CNG",$D22="Buses - CNG"),"scf","gal"))</f>
        <v>gal</v>
      </c>
      <c r="H22" s="452">
        <f>E107*F22</f>
        <v>12650</v>
      </c>
      <c r="I22" s="162"/>
      <c r="J22" s="162"/>
      <c r="K22" s="162"/>
      <c r="L22" s="162"/>
      <c r="M22" s="162"/>
      <c r="N22" s="162"/>
      <c r="O22" s="162"/>
      <c r="P22" s="162"/>
      <c r="Q22" s="162"/>
      <c r="R22" s="162"/>
      <c r="S22" s="162"/>
      <c r="T22" s="162"/>
      <c r="U22" s="162"/>
      <c r="V22" s="162"/>
      <c r="W22" s="162"/>
      <c r="X22" s="162"/>
      <c r="Y22" s="162"/>
      <c r="Z22" s="162"/>
      <c r="AA22" s="162"/>
      <c r="AB22" s="162"/>
      <c r="AC22" s="162"/>
      <c r="AD22" s="162"/>
    </row>
    <row r="23" spans="1:30">
      <c r="A23" s="838" t="s">
        <v>1371</v>
      </c>
      <c r="B23" s="856" t="s">
        <v>1372</v>
      </c>
      <c r="C23" s="725" t="s">
        <v>1241</v>
      </c>
      <c r="D23" s="725" t="s">
        <v>1125</v>
      </c>
      <c r="E23" s="614">
        <v>2022</v>
      </c>
      <c r="F23" s="179">
        <v>1650</v>
      </c>
      <c r="G23" s="852" t="str">
        <f t="shared" si="0"/>
        <v>gal</v>
      </c>
      <c r="H23" s="837">
        <v>13000</v>
      </c>
      <c r="I23" s="162"/>
      <c r="J23" s="162"/>
      <c r="K23" s="162"/>
      <c r="L23" s="162"/>
      <c r="M23" s="162"/>
      <c r="N23" s="162"/>
      <c r="O23" s="162"/>
      <c r="P23" s="162"/>
      <c r="Q23" s="162"/>
      <c r="R23" s="162"/>
      <c r="S23" s="162"/>
      <c r="T23" s="162"/>
      <c r="U23" s="162"/>
      <c r="V23" s="162"/>
      <c r="W23" s="162"/>
      <c r="X23" s="162"/>
      <c r="Y23" s="162"/>
      <c r="Z23" s="162"/>
      <c r="AA23" s="162"/>
      <c r="AB23" s="162"/>
      <c r="AC23" s="162"/>
      <c r="AD23" s="162"/>
    </row>
    <row r="24" spans="1:30">
      <c r="A24" s="724" t="s">
        <v>1373</v>
      </c>
      <c r="B24" s="885" t="s">
        <v>1374</v>
      </c>
      <c r="C24" s="178" t="s">
        <v>1241</v>
      </c>
      <c r="D24" s="725" t="s">
        <v>1125</v>
      </c>
      <c r="E24" s="29">
        <v>2017</v>
      </c>
      <c r="F24" s="73">
        <v>1400</v>
      </c>
      <c r="G24" s="188" t="str">
        <f t="shared" si="0"/>
        <v>gal</v>
      </c>
      <c r="H24" s="837">
        <v>14250</v>
      </c>
      <c r="I24" s="162"/>
      <c r="J24" s="162"/>
      <c r="K24" s="162"/>
      <c r="L24" s="162"/>
      <c r="M24" s="162"/>
      <c r="N24" s="162"/>
      <c r="O24" s="162"/>
      <c r="P24" s="162"/>
      <c r="Q24" s="162"/>
      <c r="R24" s="162"/>
      <c r="S24" s="162"/>
      <c r="T24" s="162"/>
      <c r="U24" s="162"/>
      <c r="V24" s="162"/>
      <c r="W24" s="162"/>
      <c r="X24" s="162"/>
      <c r="Y24" s="162"/>
      <c r="Z24" s="162"/>
      <c r="AA24" s="162"/>
      <c r="AB24" s="162"/>
      <c r="AC24" s="162"/>
      <c r="AD24" s="162"/>
    </row>
    <row r="25" spans="1:30">
      <c r="A25" s="724" t="s">
        <v>1375</v>
      </c>
      <c r="B25" s="885" t="s">
        <v>1376</v>
      </c>
      <c r="C25" s="178" t="s">
        <v>1241</v>
      </c>
      <c r="D25" s="725" t="s">
        <v>1125</v>
      </c>
      <c r="E25" s="29">
        <v>2012</v>
      </c>
      <c r="F25" s="73">
        <v>1355</v>
      </c>
      <c r="G25" s="188" t="str">
        <f t="shared" si="0"/>
        <v>gal</v>
      </c>
      <c r="H25" s="417">
        <v>15370</v>
      </c>
      <c r="I25" s="714"/>
      <c r="J25" s="162"/>
      <c r="K25" s="162"/>
      <c r="L25" s="162"/>
      <c r="M25" s="162"/>
      <c r="N25" s="162"/>
      <c r="O25" s="162"/>
      <c r="P25" s="162"/>
      <c r="Q25" s="162"/>
      <c r="R25" s="162"/>
      <c r="S25" s="162"/>
      <c r="T25" s="162"/>
      <c r="U25" s="162"/>
      <c r="V25" s="162"/>
      <c r="W25" s="162"/>
      <c r="X25" s="162"/>
      <c r="Y25" s="162"/>
      <c r="Z25" s="162"/>
      <c r="AA25" s="162"/>
      <c r="AB25" s="162"/>
      <c r="AC25" s="162"/>
      <c r="AD25" s="162"/>
    </row>
    <row r="26" spans="1:30">
      <c r="A26" s="724" t="s">
        <v>1377</v>
      </c>
      <c r="B26" s="885" t="s">
        <v>1376</v>
      </c>
      <c r="C26" s="178" t="s">
        <v>1241</v>
      </c>
      <c r="D26" s="725" t="s">
        <v>1125</v>
      </c>
      <c r="E26" s="29">
        <v>2012</v>
      </c>
      <c r="F26" s="73">
        <v>1385</v>
      </c>
      <c r="G26" s="188" t="str">
        <f t="shared" si="0"/>
        <v>gal</v>
      </c>
      <c r="H26" s="417">
        <v>14200</v>
      </c>
      <c r="I26" s="162"/>
      <c r="J26" s="162"/>
      <c r="K26" s="162"/>
      <c r="L26" s="162"/>
      <c r="M26" s="162"/>
      <c r="N26" s="162"/>
      <c r="O26" s="162"/>
      <c r="P26" s="162"/>
      <c r="Q26" s="162"/>
      <c r="R26" s="162"/>
      <c r="S26" s="162"/>
      <c r="T26" s="162"/>
      <c r="U26" s="162"/>
      <c r="V26" s="162"/>
      <c r="W26" s="162"/>
      <c r="X26" s="162"/>
      <c r="Y26" s="162"/>
      <c r="Z26" s="162"/>
      <c r="AA26" s="162"/>
      <c r="AB26" s="162"/>
      <c r="AC26" s="162"/>
      <c r="AD26" s="162"/>
    </row>
    <row r="27" spans="1:30">
      <c r="A27" s="724" t="s">
        <v>1378</v>
      </c>
      <c r="B27" s="885" t="s">
        <v>1376</v>
      </c>
      <c r="C27" s="178" t="s">
        <v>1241</v>
      </c>
      <c r="D27" s="725" t="s">
        <v>1125</v>
      </c>
      <c r="E27" s="29">
        <v>2012</v>
      </c>
      <c r="F27" s="73">
        <v>1485</v>
      </c>
      <c r="G27" s="188" t="str">
        <f t="shared" si="0"/>
        <v>gal</v>
      </c>
      <c r="H27" s="417">
        <v>16240</v>
      </c>
      <c r="I27" s="162"/>
      <c r="J27" s="162"/>
      <c r="K27" s="162"/>
      <c r="L27" s="162"/>
      <c r="M27" s="162"/>
      <c r="N27" s="162"/>
      <c r="O27" s="162"/>
      <c r="P27" s="162"/>
      <c r="Q27" s="162"/>
      <c r="R27" s="162"/>
      <c r="S27" s="162"/>
      <c r="T27" s="162"/>
      <c r="U27" s="162"/>
      <c r="V27" s="162"/>
      <c r="W27" s="162"/>
      <c r="X27" s="162"/>
      <c r="Y27" s="162"/>
      <c r="Z27" s="162"/>
      <c r="AA27" s="162"/>
      <c r="AB27" s="162"/>
      <c r="AC27" s="162"/>
      <c r="AD27" s="162"/>
    </row>
    <row r="28" spans="1:30">
      <c r="A28" s="724" t="s">
        <v>1379</v>
      </c>
      <c r="B28" s="885" t="s">
        <v>1376</v>
      </c>
      <c r="C28" s="178" t="s">
        <v>1241</v>
      </c>
      <c r="D28" s="725" t="s">
        <v>1125</v>
      </c>
      <c r="E28" s="29">
        <v>2012</v>
      </c>
      <c r="F28" s="73">
        <v>1450</v>
      </c>
      <c r="G28" s="188" t="str">
        <f t="shared" si="0"/>
        <v>gal</v>
      </c>
      <c r="H28" s="417">
        <v>16320</v>
      </c>
      <c r="I28" s="162"/>
      <c r="J28" s="162"/>
      <c r="K28" s="162"/>
      <c r="L28" s="162"/>
      <c r="M28" s="162"/>
      <c r="N28" s="162"/>
      <c r="O28" s="162"/>
      <c r="P28" s="162"/>
      <c r="Q28" s="162"/>
      <c r="R28" s="162"/>
      <c r="S28" s="162"/>
      <c r="T28" s="162"/>
      <c r="U28" s="162"/>
      <c r="V28" s="162"/>
      <c r="W28" s="162"/>
      <c r="X28" s="162"/>
      <c r="Y28" s="162"/>
      <c r="Z28" s="162"/>
      <c r="AA28" s="162"/>
      <c r="AB28" s="162"/>
      <c r="AC28" s="162"/>
      <c r="AD28" s="162"/>
    </row>
    <row r="29" spans="1:30">
      <c r="A29" s="724" t="s">
        <v>1380</v>
      </c>
      <c r="B29" s="885" t="s">
        <v>266</v>
      </c>
      <c r="C29" s="178" t="s">
        <v>1241</v>
      </c>
      <c r="D29" s="178" t="s">
        <v>1157</v>
      </c>
      <c r="E29" s="29">
        <v>2016</v>
      </c>
      <c r="F29" s="73">
        <v>210</v>
      </c>
      <c r="G29" s="188" t="str">
        <f t="shared" si="0"/>
        <v>gal</v>
      </c>
      <c r="H29" s="417">
        <v>2130</v>
      </c>
      <c r="I29" s="162"/>
      <c r="J29" s="162"/>
      <c r="K29" s="162"/>
      <c r="L29" s="162"/>
      <c r="M29" s="162"/>
      <c r="N29" s="162"/>
      <c r="O29" s="162"/>
      <c r="P29" s="162"/>
      <c r="Q29" s="162"/>
      <c r="R29" s="162"/>
      <c r="S29" s="162"/>
      <c r="T29" s="162"/>
      <c r="U29" s="162"/>
      <c r="V29" s="162"/>
      <c r="W29" s="162"/>
      <c r="X29" s="162"/>
      <c r="Y29" s="162"/>
      <c r="Z29" s="162"/>
      <c r="AA29" s="162"/>
      <c r="AB29" s="162"/>
      <c r="AC29" s="162"/>
      <c r="AD29" s="162"/>
    </row>
    <row r="30" spans="1:30">
      <c r="A30" s="65"/>
      <c r="B30" s="82"/>
      <c r="C30" s="178"/>
      <c r="D30" s="178"/>
      <c r="E30" s="29"/>
      <c r="F30" s="73"/>
      <c r="G30" s="188" t="str">
        <f t="shared" si="0"/>
        <v/>
      </c>
      <c r="H30" s="417"/>
      <c r="I30" s="162"/>
      <c r="J30" s="162"/>
      <c r="K30" s="162"/>
      <c r="L30" s="162"/>
      <c r="M30" s="162"/>
      <c r="N30" s="162"/>
      <c r="O30" s="162"/>
      <c r="P30" s="162"/>
      <c r="Q30" s="162"/>
      <c r="R30" s="162"/>
      <c r="S30" s="162"/>
      <c r="T30" s="162"/>
      <c r="U30" s="162"/>
      <c r="V30" s="162"/>
      <c r="W30" s="162"/>
      <c r="X30" s="162"/>
      <c r="Y30" s="162"/>
      <c r="Z30" s="162"/>
      <c r="AA30" s="162"/>
      <c r="AB30" s="162"/>
      <c r="AC30" s="162"/>
      <c r="AD30" s="162"/>
    </row>
    <row r="31" spans="1:30">
      <c r="A31" s="65"/>
      <c r="B31" s="82"/>
      <c r="C31" s="178"/>
      <c r="D31" s="178"/>
      <c r="E31" s="29"/>
      <c r="F31" s="73"/>
      <c r="G31" s="188" t="str">
        <f t="shared" si="0"/>
        <v/>
      </c>
      <c r="H31" s="417"/>
      <c r="I31" s="162"/>
      <c r="J31" s="162"/>
      <c r="K31" s="162"/>
      <c r="L31" s="162"/>
      <c r="M31" s="162"/>
      <c r="N31" s="162"/>
      <c r="O31" s="162"/>
      <c r="P31" s="162"/>
      <c r="Q31" s="162"/>
      <c r="R31" s="162"/>
      <c r="S31" s="162"/>
      <c r="T31" s="162"/>
      <c r="U31" s="162"/>
      <c r="V31" s="162"/>
      <c r="W31" s="162"/>
      <c r="X31" s="162"/>
      <c r="Y31" s="162"/>
      <c r="Z31" s="162"/>
      <c r="AA31" s="162"/>
      <c r="AB31" s="162"/>
      <c r="AC31" s="162"/>
      <c r="AD31" s="162"/>
    </row>
    <row r="32" spans="1:30">
      <c r="A32" s="65"/>
      <c r="B32" s="82"/>
      <c r="C32" s="178"/>
      <c r="D32" s="178"/>
      <c r="E32" s="29"/>
      <c r="F32" s="73"/>
      <c r="G32" s="188" t="str">
        <f t="shared" si="0"/>
        <v/>
      </c>
      <c r="H32" s="417"/>
      <c r="I32" s="162"/>
      <c r="J32" s="162"/>
      <c r="K32" s="162"/>
      <c r="L32" s="162"/>
      <c r="M32" s="162"/>
      <c r="N32" s="162"/>
      <c r="O32" s="162"/>
      <c r="P32" s="162"/>
      <c r="Q32" s="162"/>
      <c r="R32" s="162"/>
      <c r="S32" s="162"/>
      <c r="T32" s="162"/>
      <c r="U32" s="162"/>
      <c r="V32" s="162"/>
      <c r="W32" s="162"/>
      <c r="X32" s="162"/>
      <c r="Y32" s="162"/>
      <c r="Z32" s="162"/>
      <c r="AA32" s="162"/>
      <c r="AB32" s="162"/>
      <c r="AC32" s="162"/>
      <c r="AD32" s="162"/>
    </row>
    <row r="33" spans="1:30">
      <c r="A33" s="65"/>
      <c r="B33" s="82"/>
      <c r="C33" s="178"/>
      <c r="D33" s="178"/>
      <c r="E33" s="29"/>
      <c r="F33" s="73"/>
      <c r="G33" s="188" t="str">
        <f t="shared" si="0"/>
        <v/>
      </c>
      <c r="H33" s="417"/>
      <c r="I33" s="162"/>
      <c r="J33" s="162"/>
      <c r="K33" s="162"/>
      <c r="L33" s="162"/>
      <c r="M33" s="162"/>
      <c r="N33" s="162"/>
      <c r="O33" s="162"/>
      <c r="P33" s="162"/>
      <c r="Q33" s="162"/>
      <c r="R33" s="162"/>
      <c r="S33" s="162"/>
      <c r="T33" s="162"/>
      <c r="U33" s="162"/>
      <c r="V33" s="162"/>
      <c r="W33" s="162"/>
      <c r="X33" s="162"/>
      <c r="Y33" s="162"/>
      <c r="Z33" s="162"/>
      <c r="AA33" s="162"/>
      <c r="AB33" s="162"/>
      <c r="AC33" s="162"/>
      <c r="AD33" s="162"/>
    </row>
    <row r="34" spans="1:30">
      <c r="A34" s="65"/>
      <c r="B34" s="82"/>
      <c r="C34" s="178"/>
      <c r="D34" s="178"/>
      <c r="E34" s="29"/>
      <c r="F34" s="73"/>
      <c r="G34" s="188" t="str">
        <f t="shared" si="0"/>
        <v/>
      </c>
      <c r="H34" s="417"/>
      <c r="I34" s="162"/>
      <c r="J34" s="162"/>
      <c r="K34" s="162"/>
      <c r="L34" s="162"/>
      <c r="M34" s="162"/>
      <c r="N34" s="162"/>
      <c r="O34" s="162"/>
      <c r="P34" s="162"/>
      <c r="Q34" s="162"/>
      <c r="R34" s="162"/>
      <c r="S34" s="162"/>
      <c r="T34" s="162"/>
      <c r="U34" s="162"/>
      <c r="V34" s="162"/>
      <c r="W34" s="162"/>
      <c r="X34" s="162"/>
      <c r="Y34" s="162"/>
      <c r="Z34" s="162"/>
      <c r="AA34" s="162"/>
      <c r="AB34" s="162"/>
      <c r="AC34" s="162"/>
      <c r="AD34" s="162"/>
    </row>
    <row r="35" spans="1:30">
      <c r="A35" s="65"/>
      <c r="B35" s="82"/>
      <c r="C35" s="178"/>
      <c r="D35" s="178"/>
      <c r="E35" s="29"/>
      <c r="F35" s="73"/>
      <c r="G35" s="188" t="str">
        <f t="shared" si="0"/>
        <v/>
      </c>
      <c r="H35" s="417"/>
      <c r="I35" s="162"/>
      <c r="J35" s="162"/>
      <c r="K35" s="162"/>
      <c r="L35" s="162"/>
      <c r="M35" s="162"/>
      <c r="N35" s="162"/>
      <c r="O35" s="162"/>
      <c r="P35" s="162"/>
      <c r="Q35" s="162"/>
      <c r="R35" s="162"/>
      <c r="S35" s="162"/>
      <c r="T35" s="162"/>
      <c r="U35" s="162"/>
      <c r="V35" s="162"/>
      <c r="W35" s="162"/>
      <c r="X35" s="162"/>
      <c r="Y35" s="162"/>
      <c r="Z35" s="162"/>
      <c r="AA35" s="162"/>
      <c r="AB35" s="162"/>
      <c r="AC35" s="162"/>
      <c r="AD35" s="162"/>
    </row>
    <row r="36" spans="1:30">
      <c r="A36" s="65"/>
      <c r="B36" s="82"/>
      <c r="C36" s="178"/>
      <c r="D36" s="178"/>
      <c r="E36" s="29"/>
      <c r="F36" s="73"/>
      <c r="G36" s="188" t="str">
        <f t="shared" si="0"/>
        <v/>
      </c>
      <c r="H36" s="417"/>
      <c r="I36" s="162"/>
      <c r="J36" s="162"/>
      <c r="K36" s="162"/>
      <c r="L36" s="162"/>
      <c r="M36" s="162"/>
      <c r="N36" s="162"/>
      <c r="O36" s="162"/>
      <c r="P36" s="162"/>
      <c r="Q36" s="162"/>
      <c r="R36" s="162"/>
      <c r="S36" s="162"/>
      <c r="T36" s="162"/>
      <c r="U36" s="162"/>
      <c r="V36" s="162"/>
      <c r="W36" s="162"/>
      <c r="X36" s="162"/>
      <c r="Y36" s="162"/>
      <c r="Z36" s="162"/>
      <c r="AA36" s="162"/>
      <c r="AB36" s="162"/>
      <c r="AC36" s="162"/>
      <c r="AD36" s="162"/>
    </row>
    <row r="37" spans="1:30">
      <c r="A37" s="65"/>
      <c r="B37" s="82"/>
      <c r="C37" s="178"/>
      <c r="D37" s="178"/>
      <c r="E37" s="29"/>
      <c r="F37" s="73"/>
      <c r="G37" s="188" t="str">
        <f t="shared" si="0"/>
        <v/>
      </c>
      <c r="H37" s="417"/>
      <c r="I37" s="162"/>
      <c r="J37" s="162"/>
      <c r="K37" s="162"/>
      <c r="L37" s="162"/>
      <c r="M37" s="162"/>
      <c r="N37" s="162"/>
      <c r="O37" s="162"/>
      <c r="P37" s="162"/>
      <c r="Q37" s="162"/>
      <c r="R37" s="162"/>
      <c r="S37" s="162"/>
      <c r="T37" s="162"/>
      <c r="U37" s="162"/>
      <c r="V37" s="162"/>
      <c r="W37" s="162"/>
      <c r="X37" s="162"/>
      <c r="Y37" s="162"/>
      <c r="Z37" s="162"/>
      <c r="AA37" s="162"/>
      <c r="AB37" s="162"/>
      <c r="AC37" s="162"/>
      <c r="AD37" s="162"/>
    </row>
    <row r="38" spans="1:30">
      <c r="A38" s="65"/>
      <c r="B38" s="82"/>
      <c r="C38" s="178"/>
      <c r="D38" s="178"/>
      <c r="E38" s="29"/>
      <c r="F38" s="73"/>
      <c r="G38" s="188" t="str">
        <f t="shared" si="0"/>
        <v/>
      </c>
      <c r="H38" s="417"/>
      <c r="I38" s="162"/>
      <c r="J38" s="162"/>
      <c r="K38" s="162"/>
      <c r="L38" s="162"/>
      <c r="M38" s="162"/>
      <c r="N38" s="162"/>
      <c r="O38" s="162"/>
      <c r="P38" s="162"/>
      <c r="Q38" s="162"/>
      <c r="R38" s="162"/>
      <c r="S38" s="162"/>
      <c r="T38" s="162"/>
      <c r="U38" s="162"/>
      <c r="V38" s="162"/>
      <c r="W38" s="162"/>
      <c r="X38" s="162"/>
      <c r="Y38" s="162"/>
      <c r="Z38" s="162"/>
      <c r="AA38" s="162"/>
      <c r="AB38" s="162"/>
      <c r="AC38" s="162"/>
      <c r="AD38" s="162"/>
    </row>
    <row r="39" spans="1:30">
      <c r="A39" s="65"/>
      <c r="B39" s="82"/>
      <c r="C39" s="178"/>
      <c r="D39" s="178"/>
      <c r="E39" s="29"/>
      <c r="F39" s="73"/>
      <c r="G39" s="188" t="str">
        <f t="shared" si="0"/>
        <v/>
      </c>
      <c r="H39" s="417"/>
      <c r="I39" s="162"/>
      <c r="J39" s="162"/>
      <c r="K39" s="162"/>
      <c r="L39" s="162"/>
      <c r="M39" s="162"/>
      <c r="N39" s="162"/>
      <c r="O39" s="162"/>
      <c r="P39" s="162"/>
      <c r="Q39" s="162"/>
      <c r="R39" s="162"/>
      <c r="S39" s="162"/>
      <c r="T39" s="162"/>
      <c r="U39" s="162"/>
      <c r="V39" s="162"/>
      <c r="W39" s="162"/>
      <c r="X39" s="162"/>
      <c r="Y39" s="162"/>
      <c r="Z39" s="162"/>
      <c r="AA39" s="162"/>
      <c r="AB39" s="162"/>
      <c r="AC39" s="162"/>
      <c r="AD39" s="162"/>
    </row>
    <row r="40" spans="1:30">
      <c r="A40" s="65"/>
      <c r="B40" s="82"/>
      <c r="C40" s="178"/>
      <c r="D40" s="178"/>
      <c r="E40" s="29"/>
      <c r="F40" s="73"/>
      <c r="G40" s="188" t="str">
        <f t="shared" si="0"/>
        <v/>
      </c>
      <c r="H40" s="417"/>
      <c r="I40" s="162"/>
      <c r="J40" s="162"/>
      <c r="K40" s="162"/>
      <c r="L40" s="162"/>
      <c r="M40" s="162"/>
      <c r="N40" s="162"/>
      <c r="O40" s="162"/>
      <c r="P40" s="162"/>
      <c r="Q40" s="162"/>
      <c r="R40" s="162"/>
      <c r="S40" s="162"/>
      <c r="T40" s="162"/>
      <c r="U40" s="162"/>
      <c r="V40" s="162"/>
      <c r="W40" s="162"/>
      <c r="X40" s="162"/>
      <c r="Y40" s="162"/>
      <c r="Z40" s="162"/>
      <c r="AA40" s="162"/>
      <c r="AB40" s="162"/>
      <c r="AC40" s="162"/>
      <c r="AD40" s="162"/>
    </row>
    <row r="41" spans="1:30">
      <c r="A41" s="65"/>
      <c r="B41" s="82"/>
      <c r="C41" s="178"/>
      <c r="D41" s="178"/>
      <c r="E41" s="29"/>
      <c r="F41" s="73"/>
      <c r="G41" s="188" t="str">
        <f t="shared" si="0"/>
        <v/>
      </c>
      <c r="H41" s="417"/>
      <c r="I41" s="162"/>
      <c r="J41" s="162"/>
      <c r="K41" s="162"/>
      <c r="L41" s="162"/>
      <c r="M41" s="162"/>
      <c r="N41" s="162"/>
      <c r="O41" s="162"/>
      <c r="P41" s="162"/>
      <c r="Q41" s="162"/>
      <c r="R41" s="162"/>
      <c r="S41" s="162"/>
      <c r="T41" s="162"/>
      <c r="U41" s="162"/>
      <c r="V41" s="162"/>
      <c r="W41" s="162"/>
      <c r="X41" s="162"/>
      <c r="Y41" s="162"/>
      <c r="Z41" s="162"/>
      <c r="AA41" s="162"/>
      <c r="AB41" s="162"/>
      <c r="AC41" s="162"/>
      <c r="AD41" s="162"/>
    </row>
    <row r="42" spans="1:30">
      <c r="A42" s="65"/>
      <c r="B42" s="82"/>
      <c r="C42" s="178"/>
      <c r="D42" s="178"/>
      <c r="E42" s="29"/>
      <c r="F42" s="73"/>
      <c r="G42" s="188" t="str">
        <f t="shared" si="0"/>
        <v/>
      </c>
      <c r="H42" s="417"/>
      <c r="I42" s="162"/>
      <c r="J42" s="162"/>
      <c r="K42" s="162"/>
      <c r="L42" s="162"/>
      <c r="M42" s="162"/>
      <c r="N42" s="162"/>
      <c r="O42" s="162"/>
      <c r="P42" s="162"/>
      <c r="Q42" s="162"/>
      <c r="R42" s="162"/>
      <c r="S42" s="162"/>
      <c r="T42" s="162"/>
      <c r="U42" s="162"/>
      <c r="V42" s="162"/>
      <c r="W42" s="162"/>
      <c r="X42" s="162"/>
      <c r="Y42" s="162"/>
      <c r="Z42" s="162"/>
      <c r="AA42" s="162"/>
      <c r="AB42" s="162"/>
      <c r="AC42" s="162"/>
      <c r="AD42" s="162"/>
    </row>
    <row r="43" spans="1:30">
      <c r="A43" s="65"/>
      <c r="B43" s="82"/>
      <c r="C43" s="178"/>
      <c r="D43" s="178"/>
      <c r="E43" s="29"/>
      <c r="F43" s="73"/>
      <c r="G43" s="188" t="str">
        <f t="shared" si="0"/>
        <v/>
      </c>
      <c r="H43" s="417"/>
      <c r="I43" s="162"/>
      <c r="J43" s="162"/>
      <c r="K43" s="162"/>
      <c r="L43" s="162"/>
      <c r="M43" s="162"/>
      <c r="N43" s="162"/>
      <c r="O43" s="162"/>
      <c r="P43" s="162"/>
      <c r="Q43" s="162"/>
      <c r="R43" s="162"/>
      <c r="S43" s="162"/>
      <c r="T43" s="162"/>
      <c r="U43" s="162"/>
      <c r="V43" s="162"/>
      <c r="W43" s="162"/>
      <c r="X43" s="162"/>
      <c r="Y43" s="162"/>
      <c r="Z43" s="162"/>
      <c r="AA43" s="162"/>
      <c r="AB43" s="162"/>
      <c r="AC43" s="162"/>
      <c r="AD43" s="162"/>
    </row>
    <row r="44" spans="1:30">
      <c r="A44" s="65"/>
      <c r="B44" s="82"/>
      <c r="C44" s="178"/>
      <c r="D44" s="178"/>
      <c r="E44" s="29"/>
      <c r="F44" s="73"/>
      <c r="G44" s="188" t="str">
        <f t="shared" si="0"/>
        <v/>
      </c>
      <c r="H44" s="417"/>
      <c r="I44" s="162"/>
      <c r="J44" s="162"/>
      <c r="K44" s="162"/>
      <c r="L44" s="162"/>
      <c r="M44" s="162"/>
      <c r="N44" s="162"/>
      <c r="O44" s="162"/>
      <c r="P44" s="162"/>
      <c r="Q44" s="162"/>
      <c r="R44" s="162"/>
      <c r="S44" s="162"/>
      <c r="T44" s="162"/>
      <c r="U44" s="162"/>
      <c r="V44" s="162"/>
      <c r="W44" s="162"/>
      <c r="X44" s="162"/>
      <c r="Y44" s="162"/>
      <c r="Z44" s="162"/>
      <c r="AA44" s="162"/>
      <c r="AB44" s="162"/>
      <c r="AC44" s="162"/>
      <c r="AD44" s="162"/>
    </row>
    <row r="45" spans="1:30">
      <c r="A45" s="65"/>
      <c r="B45" s="82"/>
      <c r="C45" s="178"/>
      <c r="D45" s="178"/>
      <c r="E45" s="29"/>
      <c r="F45" s="73"/>
      <c r="G45" s="188" t="str">
        <f t="shared" si="0"/>
        <v/>
      </c>
      <c r="H45" s="417"/>
      <c r="I45" s="162"/>
      <c r="J45" s="162"/>
      <c r="K45" s="162"/>
      <c r="L45" s="162"/>
      <c r="M45" s="162"/>
      <c r="N45" s="162"/>
      <c r="O45" s="162"/>
      <c r="P45" s="162"/>
      <c r="Q45" s="162"/>
      <c r="R45" s="162"/>
      <c r="S45" s="162"/>
      <c r="T45" s="162"/>
      <c r="U45" s="162"/>
      <c r="V45" s="162"/>
      <c r="W45" s="162"/>
      <c r="X45" s="162"/>
      <c r="Y45" s="162"/>
      <c r="Z45" s="162"/>
      <c r="AA45" s="162"/>
      <c r="AB45" s="162"/>
      <c r="AC45" s="162"/>
      <c r="AD45" s="162"/>
    </row>
    <row r="46" spans="1:30">
      <c r="A46" s="65"/>
      <c r="B46" s="82"/>
      <c r="C46" s="178"/>
      <c r="D46" s="178"/>
      <c r="E46" s="29"/>
      <c r="F46" s="73"/>
      <c r="G46" s="188" t="str">
        <f t="shared" si="0"/>
        <v/>
      </c>
      <c r="H46" s="417"/>
      <c r="I46" s="162"/>
      <c r="J46" s="162"/>
      <c r="K46" s="162"/>
      <c r="L46" s="162"/>
      <c r="M46" s="162"/>
      <c r="N46" s="162"/>
      <c r="O46" s="162"/>
      <c r="P46" s="162"/>
      <c r="Q46" s="162"/>
      <c r="R46" s="162"/>
      <c r="S46" s="162"/>
      <c r="T46" s="162"/>
      <c r="U46" s="162"/>
      <c r="V46" s="162"/>
      <c r="W46" s="162"/>
      <c r="X46" s="162"/>
      <c r="Y46" s="162"/>
      <c r="Z46" s="162"/>
      <c r="AA46" s="162"/>
      <c r="AB46" s="162"/>
      <c r="AC46" s="162"/>
      <c r="AD46" s="162"/>
    </row>
    <row r="47" spans="1:30">
      <c r="A47" s="65"/>
      <c r="B47" s="82"/>
      <c r="C47" s="178"/>
      <c r="D47" s="178"/>
      <c r="E47" s="29"/>
      <c r="F47" s="73"/>
      <c r="G47" s="188" t="str">
        <f t="shared" si="0"/>
        <v/>
      </c>
      <c r="H47" s="417"/>
      <c r="I47" s="162"/>
      <c r="J47" s="162"/>
      <c r="K47" s="162"/>
      <c r="L47" s="162"/>
      <c r="M47" s="162"/>
      <c r="N47" s="162"/>
      <c r="O47" s="162"/>
      <c r="P47" s="162"/>
      <c r="Q47" s="162"/>
      <c r="R47" s="162"/>
      <c r="S47" s="162"/>
      <c r="T47" s="162"/>
      <c r="U47" s="162"/>
      <c r="V47" s="162"/>
      <c r="W47" s="162"/>
      <c r="X47" s="162"/>
      <c r="Y47" s="162"/>
      <c r="Z47" s="162"/>
      <c r="AA47" s="162"/>
      <c r="AB47" s="162"/>
      <c r="AC47" s="162"/>
      <c r="AD47" s="162"/>
    </row>
    <row r="48" spans="1:30">
      <c r="A48" s="65"/>
      <c r="B48" s="82"/>
      <c r="C48" s="178"/>
      <c r="D48" s="178"/>
      <c r="E48" s="29"/>
      <c r="F48" s="73"/>
      <c r="G48" s="188" t="str">
        <f t="shared" si="0"/>
        <v/>
      </c>
      <c r="H48" s="417"/>
      <c r="I48" s="162"/>
      <c r="J48" s="162"/>
      <c r="K48" s="162"/>
      <c r="L48" s="162"/>
      <c r="M48" s="162"/>
      <c r="N48" s="162"/>
      <c r="O48" s="162"/>
      <c r="P48" s="162"/>
      <c r="Q48" s="162"/>
      <c r="R48" s="162"/>
      <c r="S48" s="162"/>
      <c r="T48" s="162"/>
      <c r="U48" s="162"/>
      <c r="V48" s="162"/>
      <c r="W48" s="162"/>
      <c r="X48" s="162"/>
      <c r="Y48" s="162"/>
      <c r="Z48" s="162"/>
      <c r="AA48" s="162"/>
      <c r="AB48" s="162"/>
      <c r="AC48" s="162"/>
      <c r="AD48" s="162"/>
    </row>
    <row r="49" spans="1:30">
      <c r="A49" s="65"/>
      <c r="B49" s="82"/>
      <c r="C49" s="178"/>
      <c r="D49" s="178"/>
      <c r="E49" s="29"/>
      <c r="F49" s="73"/>
      <c r="G49" s="188" t="str">
        <f t="shared" si="0"/>
        <v/>
      </c>
      <c r="H49" s="417"/>
      <c r="I49" s="162"/>
      <c r="J49" s="162"/>
      <c r="K49" s="162"/>
      <c r="L49" s="162"/>
      <c r="M49" s="162"/>
      <c r="N49" s="162"/>
      <c r="O49" s="162"/>
      <c r="P49" s="162"/>
      <c r="Q49" s="162"/>
      <c r="R49" s="162"/>
      <c r="S49" s="162"/>
      <c r="T49" s="162"/>
      <c r="U49" s="162"/>
      <c r="V49" s="162"/>
      <c r="W49" s="162"/>
      <c r="X49" s="162"/>
      <c r="Y49" s="162"/>
      <c r="Z49" s="162"/>
      <c r="AA49" s="162"/>
      <c r="AB49" s="162"/>
      <c r="AC49" s="162"/>
      <c r="AD49" s="162"/>
    </row>
    <row r="50" spans="1:30">
      <c r="A50" s="65"/>
      <c r="B50" s="82"/>
      <c r="C50" s="178"/>
      <c r="D50" s="178"/>
      <c r="E50" s="29"/>
      <c r="F50" s="73"/>
      <c r="G50" s="188" t="str">
        <f t="shared" si="0"/>
        <v/>
      </c>
      <c r="H50" s="417"/>
      <c r="I50" s="162"/>
      <c r="J50" s="162"/>
      <c r="K50" s="162"/>
      <c r="L50" s="162"/>
      <c r="M50" s="162"/>
      <c r="N50" s="162"/>
      <c r="O50" s="162"/>
      <c r="P50" s="162"/>
      <c r="Q50" s="162"/>
      <c r="R50" s="162"/>
      <c r="S50" s="162"/>
      <c r="T50" s="162"/>
      <c r="U50" s="162"/>
      <c r="V50" s="162"/>
      <c r="W50" s="162"/>
      <c r="X50" s="162"/>
      <c r="Y50" s="162"/>
      <c r="Z50" s="162"/>
      <c r="AA50" s="162"/>
      <c r="AB50" s="162"/>
      <c r="AC50" s="162"/>
      <c r="AD50" s="162"/>
    </row>
    <row r="51" spans="1:30">
      <c r="A51" s="65"/>
      <c r="B51" s="82"/>
      <c r="C51" s="178"/>
      <c r="D51" s="178"/>
      <c r="E51" s="29"/>
      <c r="F51" s="73"/>
      <c r="G51" s="188" t="str">
        <f t="shared" si="0"/>
        <v/>
      </c>
      <c r="H51" s="417"/>
      <c r="I51" s="162"/>
      <c r="J51" s="162"/>
      <c r="K51" s="162"/>
      <c r="L51" s="162"/>
      <c r="M51" s="162"/>
      <c r="N51" s="162"/>
      <c r="O51" s="162"/>
      <c r="P51" s="162"/>
      <c r="Q51" s="162"/>
      <c r="R51" s="162"/>
      <c r="S51" s="162"/>
      <c r="T51" s="162"/>
      <c r="U51" s="162"/>
      <c r="V51" s="162"/>
      <c r="W51" s="162"/>
      <c r="X51" s="162"/>
      <c r="Y51" s="162"/>
      <c r="Z51" s="162"/>
      <c r="AA51" s="162"/>
      <c r="AB51" s="162"/>
      <c r="AC51" s="162"/>
      <c r="AD51" s="162"/>
    </row>
    <row r="52" spans="1:30">
      <c r="A52" s="65"/>
      <c r="B52" s="82"/>
      <c r="C52" s="178"/>
      <c r="D52" s="178"/>
      <c r="E52" s="29"/>
      <c r="F52" s="73"/>
      <c r="G52" s="188" t="str">
        <f t="shared" si="0"/>
        <v/>
      </c>
      <c r="H52" s="417"/>
      <c r="I52" s="162"/>
      <c r="J52" s="162"/>
      <c r="K52" s="162"/>
      <c r="L52" s="162"/>
      <c r="M52" s="162"/>
      <c r="N52" s="162"/>
      <c r="O52" s="162"/>
      <c r="P52" s="162"/>
      <c r="Q52" s="162"/>
      <c r="R52" s="162"/>
      <c r="S52" s="162"/>
      <c r="T52" s="162"/>
      <c r="U52" s="162"/>
      <c r="V52" s="162"/>
      <c r="W52" s="162"/>
      <c r="X52" s="162"/>
      <c r="Y52" s="162"/>
      <c r="Z52" s="162"/>
      <c r="AA52" s="162"/>
      <c r="AB52" s="162"/>
      <c r="AC52" s="162"/>
      <c r="AD52" s="162"/>
    </row>
    <row r="53" spans="1:30">
      <c r="A53" s="65"/>
      <c r="B53" s="82"/>
      <c r="C53" s="178"/>
      <c r="D53" s="178"/>
      <c r="E53" s="29"/>
      <c r="F53" s="73"/>
      <c r="G53" s="188" t="str">
        <f t="shared" si="0"/>
        <v/>
      </c>
      <c r="H53" s="417"/>
      <c r="I53" s="162"/>
      <c r="J53" s="162"/>
      <c r="K53" s="162"/>
      <c r="L53" s="162"/>
      <c r="M53" s="162"/>
      <c r="N53" s="162"/>
      <c r="O53" s="162"/>
      <c r="P53" s="162"/>
      <c r="Q53" s="162"/>
      <c r="R53" s="162"/>
      <c r="S53" s="162"/>
      <c r="T53" s="162"/>
      <c r="U53" s="162"/>
      <c r="V53" s="162"/>
      <c r="W53" s="162"/>
      <c r="X53" s="162"/>
      <c r="Y53" s="162"/>
      <c r="Z53" s="162"/>
      <c r="AA53" s="162"/>
      <c r="AB53" s="162"/>
      <c r="AC53" s="162"/>
      <c r="AD53" s="162"/>
    </row>
    <row r="54" spans="1:30">
      <c r="A54" s="65"/>
      <c r="B54" s="82"/>
      <c r="C54" s="178"/>
      <c r="D54" s="178"/>
      <c r="E54" s="29"/>
      <c r="F54" s="73"/>
      <c r="G54" s="188" t="str">
        <f t="shared" si="0"/>
        <v/>
      </c>
      <c r="H54" s="417"/>
      <c r="I54" s="162"/>
      <c r="J54" s="162"/>
      <c r="K54" s="162"/>
      <c r="L54" s="162"/>
      <c r="M54" s="162"/>
      <c r="N54" s="162"/>
      <c r="O54" s="162"/>
      <c r="P54" s="162"/>
      <c r="Q54" s="162"/>
      <c r="R54" s="162"/>
      <c r="S54" s="162"/>
      <c r="T54" s="162"/>
      <c r="U54" s="162"/>
      <c r="V54" s="162"/>
      <c r="W54" s="162"/>
      <c r="X54" s="162"/>
      <c r="Y54" s="162"/>
      <c r="Z54" s="162"/>
      <c r="AA54" s="162"/>
      <c r="AB54" s="162"/>
      <c r="AC54" s="162"/>
      <c r="AD54" s="162"/>
    </row>
    <row r="55" spans="1:30">
      <c r="A55" s="65"/>
      <c r="B55" s="82"/>
      <c r="C55" s="178"/>
      <c r="D55" s="178"/>
      <c r="E55" s="29"/>
      <c r="F55" s="73"/>
      <c r="G55" s="188" t="str">
        <f t="shared" si="0"/>
        <v/>
      </c>
      <c r="H55" s="417"/>
      <c r="I55" s="162"/>
      <c r="J55" s="162"/>
      <c r="K55" s="162"/>
      <c r="L55" s="162"/>
      <c r="M55" s="162"/>
      <c r="N55" s="162"/>
      <c r="O55" s="162"/>
      <c r="P55" s="162"/>
      <c r="Q55" s="162"/>
      <c r="R55" s="162"/>
      <c r="S55" s="162"/>
      <c r="T55" s="162"/>
      <c r="U55" s="162"/>
      <c r="V55" s="162"/>
      <c r="W55" s="162"/>
      <c r="X55" s="162"/>
      <c r="Y55" s="162"/>
      <c r="Z55" s="162"/>
      <c r="AA55" s="162"/>
      <c r="AB55" s="162"/>
      <c r="AC55" s="162"/>
      <c r="AD55" s="162"/>
    </row>
    <row r="56" spans="1:30">
      <c r="A56" s="65"/>
      <c r="B56" s="82"/>
      <c r="C56" s="178"/>
      <c r="D56" s="178"/>
      <c r="E56" s="29"/>
      <c r="F56" s="73"/>
      <c r="G56" s="188" t="str">
        <f t="shared" si="0"/>
        <v/>
      </c>
      <c r="H56" s="417"/>
      <c r="I56" s="162"/>
      <c r="J56" s="162"/>
      <c r="K56" s="162"/>
      <c r="L56" s="162"/>
      <c r="M56" s="162"/>
      <c r="N56" s="162"/>
      <c r="O56" s="162"/>
      <c r="P56" s="162"/>
      <c r="Q56" s="162"/>
      <c r="R56" s="162"/>
      <c r="S56" s="162"/>
      <c r="T56" s="162"/>
      <c r="U56" s="162"/>
      <c r="V56" s="162"/>
      <c r="W56" s="162"/>
      <c r="X56" s="162"/>
      <c r="Y56" s="162"/>
      <c r="Z56" s="162"/>
      <c r="AA56" s="162"/>
      <c r="AB56" s="162"/>
      <c r="AC56" s="162"/>
      <c r="AD56" s="162"/>
    </row>
    <row r="57" spans="1:30">
      <c r="A57" s="65"/>
      <c r="B57" s="82"/>
      <c r="C57" s="178"/>
      <c r="D57" s="178"/>
      <c r="E57" s="29"/>
      <c r="F57" s="73"/>
      <c r="G57" s="188" t="str">
        <f t="shared" si="0"/>
        <v/>
      </c>
      <c r="H57" s="417"/>
      <c r="I57" s="162"/>
      <c r="J57" s="162"/>
      <c r="K57" s="162"/>
      <c r="L57" s="162"/>
      <c r="M57" s="162"/>
      <c r="N57" s="162"/>
      <c r="O57" s="162"/>
      <c r="P57" s="162"/>
      <c r="Q57" s="162"/>
      <c r="R57" s="162"/>
      <c r="S57" s="162"/>
      <c r="T57" s="162"/>
      <c r="U57" s="162"/>
      <c r="V57" s="162"/>
      <c r="W57" s="162"/>
      <c r="X57" s="162"/>
      <c r="Y57" s="162"/>
      <c r="Z57" s="162"/>
      <c r="AA57" s="162"/>
      <c r="AB57" s="162"/>
      <c r="AC57" s="162"/>
      <c r="AD57" s="162"/>
    </row>
    <row r="58" spans="1:30">
      <c r="A58" s="65"/>
      <c r="B58" s="82"/>
      <c r="C58" s="178"/>
      <c r="D58" s="178"/>
      <c r="E58" s="29"/>
      <c r="F58" s="73"/>
      <c r="G58" s="188" t="str">
        <f t="shared" si="0"/>
        <v/>
      </c>
      <c r="H58" s="417"/>
      <c r="I58" s="162"/>
      <c r="J58" s="162"/>
      <c r="K58" s="162"/>
      <c r="L58" s="162"/>
      <c r="M58" s="162"/>
      <c r="N58" s="162"/>
      <c r="O58" s="162"/>
      <c r="P58" s="162"/>
      <c r="Q58" s="162"/>
      <c r="R58" s="162"/>
      <c r="S58" s="162"/>
      <c r="T58" s="162"/>
      <c r="U58" s="162"/>
      <c r="V58" s="162"/>
      <c r="W58" s="162"/>
      <c r="X58" s="162"/>
      <c r="Y58" s="162"/>
      <c r="Z58" s="162"/>
      <c r="AA58" s="162"/>
      <c r="AB58" s="162"/>
      <c r="AC58" s="162"/>
      <c r="AD58" s="162"/>
    </row>
    <row r="59" spans="1:30">
      <c r="A59" s="65"/>
      <c r="B59" s="82"/>
      <c r="C59" s="178"/>
      <c r="D59" s="178"/>
      <c r="E59" s="29"/>
      <c r="F59" s="73"/>
      <c r="G59" s="188" t="str">
        <f t="shared" si="0"/>
        <v/>
      </c>
      <c r="H59" s="417"/>
      <c r="I59" s="162"/>
      <c r="J59" s="162"/>
      <c r="K59" s="162"/>
      <c r="L59" s="162"/>
      <c r="M59" s="162"/>
      <c r="N59" s="162"/>
      <c r="O59" s="162"/>
      <c r="P59" s="162"/>
      <c r="Q59" s="162"/>
      <c r="R59" s="162"/>
      <c r="S59" s="162"/>
      <c r="T59" s="162"/>
      <c r="U59" s="162"/>
      <c r="V59" s="162"/>
      <c r="W59" s="162"/>
      <c r="X59" s="162"/>
      <c r="Y59" s="162"/>
      <c r="Z59" s="162"/>
      <c r="AA59" s="162"/>
      <c r="AB59" s="162"/>
      <c r="AC59" s="162"/>
      <c r="AD59" s="162"/>
    </row>
    <row r="60" spans="1:30">
      <c r="A60" s="65"/>
      <c r="B60" s="82"/>
      <c r="C60" s="178"/>
      <c r="D60" s="178"/>
      <c r="E60" s="29"/>
      <c r="F60" s="73"/>
      <c r="G60" s="188" t="str">
        <f t="shared" si="0"/>
        <v/>
      </c>
      <c r="H60" s="417"/>
      <c r="I60" s="162"/>
      <c r="J60" s="162"/>
      <c r="K60" s="162"/>
      <c r="L60" s="162"/>
      <c r="M60" s="162"/>
      <c r="N60" s="162"/>
      <c r="O60" s="162"/>
      <c r="P60" s="162"/>
      <c r="Q60" s="162"/>
      <c r="R60" s="162"/>
      <c r="S60" s="162"/>
      <c r="T60" s="162"/>
      <c r="U60" s="162"/>
      <c r="V60" s="162"/>
      <c r="W60" s="162"/>
      <c r="X60" s="162"/>
      <c r="Y60" s="162"/>
      <c r="Z60" s="162"/>
      <c r="AA60" s="162"/>
      <c r="AB60" s="162"/>
      <c r="AC60" s="162"/>
      <c r="AD60" s="162"/>
    </row>
    <row r="61" spans="1:30">
      <c r="A61" s="65"/>
      <c r="B61" s="82"/>
      <c r="C61" s="178"/>
      <c r="D61" s="178"/>
      <c r="E61" s="29"/>
      <c r="F61" s="73"/>
      <c r="G61" s="188" t="str">
        <f t="shared" si="0"/>
        <v/>
      </c>
      <c r="H61" s="417"/>
      <c r="I61" s="162"/>
      <c r="J61" s="162"/>
      <c r="K61" s="162"/>
      <c r="L61" s="162"/>
      <c r="M61" s="162"/>
      <c r="N61" s="162"/>
      <c r="O61" s="162"/>
      <c r="P61" s="162"/>
      <c r="Q61" s="162"/>
      <c r="R61" s="162"/>
      <c r="S61" s="162"/>
      <c r="T61" s="162"/>
      <c r="U61" s="162"/>
      <c r="V61" s="162"/>
      <c r="W61" s="162"/>
      <c r="X61" s="162"/>
      <c r="Y61" s="162"/>
      <c r="Z61" s="162"/>
      <c r="AA61" s="162"/>
      <c r="AB61" s="162"/>
      <c r="AC61" s="162"/>
      <c r="AD61" s="162"/>
    </row>
    <row r="62" spans="1:30">
      <c r="A62" s="65"/>
      <c r="B62" s="82"/>
      <c r="C62" s="178"/>
      <c r="D62" s="178"/>
      <c r="E62" s="29"/>
      <c r="F62" s="73"/>
      <c r="G62" s="188" t="str">
        <f t="shared" si="0"/>
        <v/>
      </c>
      <c r="H62" s="417"/>
      <c r="I62" s="162"/>
      <c r="J62" s="162"/>
      <c r="K62" s="162"/>
      <c r="L62" s="162"/>
      <c r="M62" s="162"/>
      <c r="N62" s="162"/>
      <c r="O62" s="162"/>
      <c r="P62" s="162"/>
      <c r="Q62" s="162"/>
      <c r="R62" s="162"/>
      <c r="S62" s="162"/>
      <c r="T62" s="162"/>
      <c r="U62" s="162"/>
      <c r="V62" s="162"/>
      <c r="W62" s="162"/>
      <c r="X62" s="162"/>
      <c r="Y62" s="162"/>
      <c r="Z62" s="162"/>
      <c r="AA62" s="162"/>
      <c r="AB62" s="162"/>
      <c r="AC62" s="162"/>
      <c r="AD62" s="162"/>
    </row>
    <row r="63" spans="1:30">
      <c r="A63" s="65"/>
      <c r="B63" s="82"/>
      <c r="C63" s="178"/>
      <c r="D63" s="178"/>
      <c r="E63" s="29"/>
      <c r="F63" s="73"/>
      <c r="G63" s="188" t="str">
        <f t="shared" si="0"/>
        <v/>
      </c>
      <c r="H63" s="417"/>
      <c r="I63" s="162"/>
      <c r="J63" s="162"/>
      <c r="K63" s="162"/>
      <c r="L63" s="162"/>
      <c r="M63" s="162"/>
      <c r="N63" s="162"/>
      <c r="O63" s="162"/>
      <c r="P63" s="162"/>
      <c r="Q63" s="162"/>
      <c r="R63" s="162"/>
      <c r="S63" s="162"/>
      <c r="T63" s="162"/>
      <c r="U63" s="162"/>
      <c r="V63" s="162"/>
      <c r="W63" s="162"/>
      <c r="X63" s="162"/>
      <c r="Y63" s="162"/>
      <c r="Z63" s="162"/>
      <c r="AA63" s="162"/>
      <c r="AB63" s="162"/>
      <c r="AC63" s="162"/>
      <c r="AD63" s="162"/>
    </row>
    <row r="64" spans="1:30">
      <c r="A64" s="65"/>
      <c r="B64" s="82"/>
      <c r="C64" s="178"/>
      <c r="D64" s="178"/>
      <c r="E64" s="29"/>
      <c r="F64" s="73"/>
      <c r="G64" s="188" t="str">
        <f t="shared" si="0"/>
        <v/>
      </c>
      <c r="H64" s="417"/>
      <c r="I64" s="162"/>
      <c r="J64" s="162"/>
      <c r="K64" s="162"/>
      <c r="L64" s="162"/>
      <c r="M64" s="162"/>
      <c r="N64" s="162"/>
      <c r="O64" s="162"/>
      <c r="P64" s="162"/>
      <c r="Q64" s="162"/>
      <c r="R64" s="162"/>
      <c r="S64" s="162"/>
      <c r="T64" s="162"/>
      <c r="U64" s="162"/>
      <c r="V64" s="162"/>
      <c r="W64" s="162"/>
      <c r="X64" s="162"/>
      <c r="Y64" s="162"/>
      <c r="Z64" s="162"/>
      <c r="AA64" s="162"/>
      <c r="AB64" s="162"/>
      <c r="AC64" s="162"/>
      <c r="AD64" s="162"/>
    </row>
    <row r="65" spans="1:30">
      <c r="A65" s="65"/>
      <c r="B65" s="82"/>
      <c r="C65" s="178"/>
      <c r="D65" s="178"/>
      <c r="E65" s="29"/>
      <c r="F65" s="73"/>
      <c r="G65" s="188" t="str">
        <f t="shared" si="0"/>
        <v/>
      </c>
      <c r="H65" s="417"/>
      <c r="I65" s="162"/>
      <c r="J65" s="162"/>
      <c r="K65" s="162"/>
      <c r="L65" s="162"/>
      <c r="M65" s="162"/>
      <c r="N65" s="162"/>
      <c r="O65" s="162"/>
      <c r="P65" s="162"/>
      <c r="Q65" s="162"/>
      <c r="R65" s="162"/>
      <c r="S65" s="162"/>
      <c r="T65" s="162"/>
      <c r="U65" s="162"/>
      <c r="V65" s="162"/>
      <c r="W65" s="162"/>
      <c r="X65" s="162"/>
      <c r="Y65" s="162"/>
      <c r="Z65" s="162"/>
      <c r="AA65" s="162"/>
      <c r="AB65" s="162"/>
      <c r="AC65" s="162"/>
      <c r="AD65" s="162"/>
    </row>
    <row r="66" spans="1:30">
      <c r="A66" s="65"/>
      <c r="B66" s="82"/>
      <c r="C66" s="178"/>
      <c r="D66" s="178"/>
      <c r="E66" s="29"/>
      <c r="F66" s="73"/>
      <c r="G66" s="188" t="str">
        <f t="shared" si="0"/>
        <v/>
      </c>
      <c r="H66" s="417"/>
      <c r="I66" s="162"/>
      <c r="J66" s="162"/>
      <c r="K66" s="162"/>
      <c r="L66" s="162"/>
      <c r="M66" s="162"/>
      <c r="N66" s="162"/>
      <c r="O66" s="162"/>
      <c r="P66" s="162"/>
      <c r="Q66" s="162"/>
      <c r="R66" s="162"/>
      <c r="S66" s="162"/>
      <c r="T66" s="162"/>
      <c r="U66" s="162"/>
      <c r="V66" s="162"/>
      <c r="W66" s="162"/>
      <c r="X66" s="162"/>
      <c r="Y66" s="162"/>
      <c r="Z66" s="162"/>
      <c r="AA66" s="162"/>
      <c r="AB66" s="162"/>
      <c r="AC66" s="162"/>
      <c r="AD66" s="162"/>
    </row>
    <row r="67" spans="1:30">
      <c r="A67" s="65"/>
      <c r="B67" s="82"/>
      <c r="C67" s="178"/>
      <c r="D67" s="178"/>
      <c r="E67" s="29"/>
      <c r="F67" s="73"/>
      <c r="G67" s="188" t="str">
        <f t="shared" si="0"/>
        <v/>
      </c>
      <c r="H67" s="417"/>
      <c r="I67" s="162"/>
      <c r="J67" s="162"/>
      <c r="K67" s="162"/>
      <c r="L67" s="162"/>
      <c r="M67" s="162"/>
      <c r="N67" s="162"/>
      <c r="O67" s="162"/>
      <c r="P67" s="162"/>
      <c r="Q67" s="162"/>
      <c r="R67" s="162"/>
      <c r="S67" s="162"/>
      <c r="T67" s="162"/>
      <c r="U67" s="162"/>
      <c r="V67" s="162"/>
      <c r="W67" s="162"/>
      <c r="X67" s="162"/>
      <c r="Y67" s="162"/>
      <c r="Z67" s="162"/>
      <c r="AA67" s="162"/>
      <c r="AB67" s="162"/>
      <c r="AC67" s="162"/>
      <c r="AD67" s="162"/>
    </row>
    <row r="68" spans="1:30">
      <c r="A68" s="65"/>
      <c r="B68" s="82"/>
      <c r="C68" s="178"/>
      <c r="D68" s="178"/>
      <c r="E68" s="29"/>
      <c r="F68" s="73"/>
      <c r="G68" s="188" t="str">
        <f t="shared" si="0"/>
        <v/>
      </c>
      <c r="H68" s="417"/>
      <c r="I68" s="162"/>
      <c r="J68" s="162"/>
      <c r="K68" s="162"/>
      <c r="L68" s="162"/>
      <c r="M68" s="162"/>
      <c r="N68" s="162"/>
      <c r="O68" s="162"/>
      <c r="P68" s="162"/>
      <c r="Q68" s="162"/>
      <c r="R68" s="162"/>
      <c r="S68" s="162"/>
      <c r="T68" s="162"/>
      <c r="U68" s="162"/>
      <c r="V68" s="162"/>
      <c r="W68" s="162"/>
      <c r="X68" s="162"/>
      <c r="Y68" s="162"/>
      <c r="Z68" s="162"/>
      <c r="AA68" s="162"/>
      <c r="AB68" s="162"/>
      <c r="AC68" s="162"/>
      <c r="AD68" s="162"/>
    </row>
    <row r="69" spans="1:30">
      <c r="A69" s="65"/>
      <c r="B69" s="82"/>
      <c r="C69" s="178"/>
      <c r="D69" s="178"/>
      <c r="E69" s="29"/>
      <c r="F69" s="73"/>
      <c r="G69" s="188" t="str">
        <f t="shared" si="0"/>
        <v/>
      </c>
      <c r="H69" s="417"/>
      <c r="I69" s="162"/>
      <c r="J69" s="162"/>
      <c r="K69" s="162"/>
      <c r="L69" s="162"/>
      <c r="M69" s="162"/>
      <c r="N69" s="162"/>
      <c r="O69" s="162"/>
      <c r="P69" s="162"/>
      <c r="Q69" s="162"/>
      <c r="R69" s="162"/>
      <c r="S69" s="162"/>
      <c r="T69" s="162"/>
      <c r="U69" s="162"/>
      <c r="V69" s="162"/>
      <c r="W69" s="162"/>
      <c r="X69" s="162"/>
      <c r="Y69" s="162"/>
      <c r="Z69" s="162"/>
      <c r="AA69" s="162"/>
      <c r="AB69" s="162"/>
      <c r="AC69" s="162"/>
      <c r="AD69" s="162"/>
    </row>
    <row r="70" spans="1:30" ht="13.5" customHeight="1">
      <c r="A70" s="65"/>
      <c r="B70" s="82"/>
      <c r="C70" s="178"/>
      <c r="D70" s="178"/>
      <c r="E70" s="29"/>
      <c r="F70" s="73"/>
      <c r="G70" s="188" t="str">
        <f t="shared" si="0"/>
        <v/>
      </c>
      <c r="H70" s="417"/>
      <c r="I70" s="162"/>
      <c r="J70" s="162"/>
      <c r="K70" s="162"/>
      <c r="L70" s="162"/>
      <c r="M70" s="162"/>
      <c r="N70" s="162"/>
      <c r="O70" s="162"/>
      <c r="P70" s="162"/>
      <c r="Q70" s="162"/>
      <c r="R70" s="162"/>
      <c r="S70" s="162"/>
      <c r="T70" s="162"/>
      <c r="U70" s="162"/>
      <c r="V70" s="162"/>
      <c r="W70" s="162"/>
      <c r="X70" s="162"/>
      <c r="Y70" s="162"/>
      <c r="Z70" s="162"/>
      <c r="AA70" s="162"/>
      <c r="AB70" s="162"/>
      <c r="AC70" s="162"/>
      <c r="AD70" s="162"/>
    </row>
    <row r="71" spans="1:30">
      <c r="A71" s="65"/>
      <c r="B71" s="82"/>
      <c r="C71" s="178"/>
      <c r="D71" s="178"/>
      <c r="E71" s="29"/>
      <c r="F71" s="73"/>
      <c r="G71" s="188" t="str">
        <f t="shared" si="0"/>
        <v/>
      </c>
      <c r="H71" s="417"/>
      <c r="I71" s="162"/>
      <c r="J71" s="162"/>
      <c r="K71" s="162"/>
      <c r="L71" s="162"/>
      <c r="M71" s="162"/>
      <c r="N71" s="162"/>
      <c r="O71" s="162"/>
      <c r="P71" s="162"/>
      <c r="Q71" s="162"/>
      <c r="R71" s="162"/>
      <c r="S71" s="162"/>
      <c r="T71" s="162"/>
      <c r="U71" s="162"/>
      <c r="V71" s="162"/>
      <c r="W71" s="162"/>
      <c r="X71" s="162"/>
      <c r="Y71" s="162"/>
      <c r="Z71" s="162"/>
      <c r="AA71" s="162"/>
      <c r="AB71" s="162"/>
      <c r="AC71" s="162"/>
      <c r="AD71" s="162"/>
    </row>
    <row r="72" spans="1:30">
      <c r="A72" s="65"/>
      <c r="B72" s="82"/>
      <c r="C72" s="178"/>
      <c r="D72" s="178"/>
      <c r="E72" s="29"/>
      <c r="F72" s="73"/>
      <c r="G72" s="188" t="str">
        <f t="shared" si="0"/>
        <v/>
      </c>
      <c r="H72" s="417"/>
      <c r="I72" s="162"/>
      <c r="J72" s="162"/>
      <c r="K72" s="162"/>
      <c r="L72" s="162"/>
      <c r="M72" s="162"/>
      <c r="N72" s="162"/>
      <c r="O72" s="162"/>
      <c r="P72" s="162"/>
      <c r="Q72" s="162"/>
      <c r="R72" s="162"/>
      <c r="S72" s="162"/>
      <c r="T72" s="162"/>
      <c r="U72" s="162"/>
      <c r="V72" s="162"/>
      <c r="W72" s="162"/>
      <c r="X72" s="162"/>
      <c r="Y72" s="162"/>
      <c r="Z72" s="162"/>
      <c r="AA72" s="162"/>
      <c r="AB72" s="162"/>
      <c r="AC72" s="162"/>
      <c r="AD72" s="162"/>
    </row>
    <row r="73" spans="1:30">
      <c r="A73" s="65"/>
      <c r="B73" s="82"/>
      <c r="C73" s="178"/>
      <c r="D73" s="178"/>
      <c r="E73" s="29"/>
      <c r="F73" s="73"/>
      <c r="G73" s="188" t="str">
        <f t="shared" si="0"/>
        <v/>
      </c>
      <c r="H73" s="417"/>
      <c r="I73" s="162"/>
      <c r="J73" s="162"/>
      <c r="K73" s="162"/>
      <c r="L73" s="162"/>
      <c r="M73" s="162"/>
      <c r="N73" s="162"/>
      <c r="O73" s="162"/>
      <c r="P73" s="162"/>
      <c r="Q73" s="162"/>
      <c r="R73" s="162"/>
      <c r="S73" s="162"/>
      <c r="T73" s="162"/>
      <c r="U73" s="162"/>
      <c r="V73" s="162"/>
      <c r="W73" s="162"/>
      <c r="X73" s="162"/>
      <c r="Y73" s="162"/>
      <c r="Z73" s="162"/>
      <c r="AA73" s="162"/>
      <c r="AB73" s="162"/>
      <c r="AC73" s="162"/>
      <c r="AD73" s="162"/>
    </row>
    <row r="74" spans="1:30">
      <c r="A74" s="65"/>
      <c r="B74" s="82"/>
      <c r="C74" s="178"/>
      <c r="D74" s="178"/>
      <c r="E74" s="29"/>
      <c r="F74" s="73"/>
      <c r="G74" s="188" t="str">
        <f t="shared" si="0"/>
        <v/>
      </c>
      <c r="H74" s="417"/>
      <c r="I74" s="162"/>
      <c r="J74" s="162"/>
      <c r="K74" s="162"/>
      <c r="L74" s="162"/>
      <c r="M74" s="162"/>
      <c r="N74" s="162"/>
      <c r="O74" s="162"/>
      <c r="P74" s="162"/>
      <c r="Q74" s="162"/>
      <c r="R74" s="162"/>
      <c r="S74" s="162"/>
      <c r="T74" s="162"/>
      <c r="U74" s="162"/>
      <c r="V74" s="162"/>
      <c r="W74" s="162"/>
      <c r="X74" s="162"/>
      <c r="Y74" s="162"/>
      <c r="Z74" s="162"/>
      <c r="AA74" s="162"/>
      <c r="AB74" s="162"/>
      <c r="AC74" s="162"/>
      <c r="AD74" s="162"/>
    </row>
    <row r="75" spans="1:30">
      <c r="A75" s="65"/>
      <c r="B75" s="82"/>
      <c r="C75" s="178"/>
      <c r="D75" s="178"/>
      <c r="E75" s="29"/>
      <c r="F75" s="73"/>
      <c r="G75" s="188" t="str">
        <f t="shared" si="0"/>
        <v/>
      </c>
      <c r="H75" s="417"/>
      <c r="I75" s="162"/>
      <c r="J75" s="162"/>
      <c r="K75" s="162"/>
      <c r="L75" s="162"/>
      <c r="M75" s="162"/>
      <c r="N75" s="162"/>
      <c r="O75" s="162"/>
      <c r="P75" s="162"/>
      <c r="Q75" s="162"/>
      <c r="R75" s="162"/>
      <c r="S75" s="162"/>
      <c r="T75" s="162"/>
      <c r="U75" s="162"/>
      <c r="V75" s="162"/>
      <c r="W75" s="162"/>
      <c r="X75" s="162"/>
      <c r="Y75" s="162"/>
      <c r="Z75" s="162"/>
      <c r="AA75" s="162"/>
      <c r="AB75" s="162"/>
      <c r="AC75" s="162"/>
      <c r="AD75" s="162"/>
    </row>
    <row r="76" spans="1:30">
      <c r="A76" s="65"/>
      <c r="B76" s="82"/>
      <c r="C76" s="178"/>
      <c r="D76" s="178"/>
      <c r="E76" s="29"/>
      <c r="F76" s="73"/>
      <c r="G76" s="188" t="str">
        <f t="shared" si="0"/>
        <v/>
      </c>
      <c r="H76" s="417"/>
      <c r="I76" s="162"/>
      <c r="J76" s="162"/>
      <c r="K76" s="162"/>
      <c r="L76" s="162"/>
      <c r="M76" s="162"/>
      <c r="N76" s="162"/>
      <c r="O76" s="162"/>
      <c r="P76" s="162"/>
      <c r="Q76" s="162"/>
      <c r="R76" s="162"/>
      <c r="S76" s="162"/>
      <c r="T76" s="162"/>
      <c r="U76" s="162"/>
      <c r="V76" s="162"/>
      <c r="W76" s="162"/>
      <c r="X76" s="162"/>
      <c r="Y76" s="162"/>
      <c r="Z76" s="162"/>
      <c r="AA76" s="162"/>
      <c r="AB76" s="162"/>
      <c r="AC76" s="162"/>
      <c r="AD76" s="162"/>
    </row>
    <row r="77" spans="1:30">
      <c r="A77" s="65"/>
      <c r="B77" s="82"/>
      <c r="C77" s="178"/>
      <c r="D77" s="178"/>
      <c r="E77" s="29"/>
      <c r="F77" s="73"/>
      <c r="G77" s="188" t="str">
        <f t="shared" si="0"/>
        <v/>
      </c>
      <c r="H77" s="417"/>
      <c r="I77" s="162"/>
      <c r="J77" s="162"/>
      <c r="K77" s="162"/>
      <c r="L77" s="162"/>
      <c r="M77" s="162"/>
      <c r="N77" s="162"/>
      <c r="O77" s="162"/>
      <c r="P77" s="162"/>
      <c r="Q77" s="162"/>
      <c r="R77" s="162"/>
      <c r="S77" s="162"/>
      <c r="T77" s="162"/>
      <c r="U77" s="162"/>
      <c r="V77" s="162"/>
      <c r="W77" s="162"/>
      <c r="X77" s="162"/>
      <c r="Y77" s="162"/>
      <c r="Z77" s="162"/>
      <c r="AA77" s="162"/>
      <c r="AB77" s="162"/>
      <c r="AC77" s="162"/>
      <c r="AD77" s="162"/>
    </row>
    <row r="78" spans="1:30">
      <c r="A78" s="65"/>
      <c r="B78" s="82"/>
      <c r="C78" s="178"/>
      <c r="D78" s="178"/>
      <c r="E78" s="29"/>
      <c r="F78" s="73"/>
      <c r="G78" s="188" t="str">
        <f t="shared" si="0"/>
        <v/>
      </c>
      <c r="H78" s="417"/>
      <c r="I78" s="162"/>
      <c r="J78" s="162"/>
      <c r="K78" s="162"/>
      <c r="L78" s="162"/>
      <c r="M78" s="162"/>
      <c r="N78" s="162"/>
      <c r="O78" s="162"/>
      <c r="P78" s="162"/>
      <c r="Q78" s="162"/>
      <c r="R78" s="162"/>
      <c r="S78" s="162"/>
      <c r="T78" s="162"/>
      <c r="U78" s="162"/>
      <c r="V78" s="162"/>
      <c r="W78" s="162"/>
      <c r="X78" s="162"/>
      <c r="Y78" s="162"/>
      <c r="Z78" s="162"/>
      <c r="AA78" s="162"/>
      <c r="AB78" s="162"/>
      <c r="AC78" s="162"/>
      <c r="AD78" s="162"/>
    </row>
    <row r="79" spans="1:30">
      <c r="A79" s="65"/>
      <c r="B79" s="82"/>
      <c r="C79" s="178"/>
      <c r="D79" s="178"/>
      <c r="E79" s="29"/>
      <c r="F79" s="73"/>
      <c r="G79" s="188" t="str">
        <f t="shared" si="0"/>
        <v/>
      </c>
      <c r="H79" s="417"/>
      <c r="I79" s="162"/>
      <c r="J79" s="162"/>
      <c r="K79" s="162"/>
      <c r="L79" s="162"/>
      <c r="M79" s="162"/>
      <c r="N79" s="162"/>
      <c r="O79" s="162"/>
      <c r="P79" s="162"/>
      <c r="Q79" s="162"/>
      <c r="R79" s="162"/>
      <c r="S79" s="162"/>
      <c r="T79" s="162"/>
      <c r="U79" s="162"/>
      <c r="V79" s="162"/>
      <c r="W79" s="162"/>
      <c r="X79" s="162"/>
      <c r="Y79" s="162"/>
      <c r="Z79" s="162"/>
      <c r="AA79" s="162"/>
      <c r="AB79" s="162"/>
      <c r="AC79" s="162"/>
      <c r="AD79" s="162"/>
    </row>
    <row r="80" spans="1:30">
      <c r="A80" s="65"/>
      <c r="B80" s="82"/>
      <c r="C80" s="178"/>
      <c r="D80" s="178"/>
      <c r="E80" s="29"/>
      <c r="F80" s="73"/>
      <c r="G80" s="188" t="str">
        <f t="shared" si="0"/>
        <v/>
      </c>
      <c r="H80" s="417"/>
      <c r="I80" s="162"/>
      <c r="J80" s="162"/>
      <c r="K80" s="162"/>
      <c r="L80" s="162"/>
      <c r="M80" s="162"/>
      <c r="N80" s="162"/>
      <c r="O80" s="162"/>
      <c r="P80" s="162"/>
      <c r="Q80" s="162"/>
      <c r="R80" s="162"/>
      <c r="S80" s="162"/>
      <c r="T80" s="162"/>
      <c r="U80" s="162"/>
      <c r="V80" s="162"/>
      <c r="W80" s="162"/>
      <c r="X80" s="162"/>
      <c r="Y80" s="162"/>
      <c r="Z80" s="162"/>
      <c r="AA80" s="162"/>
      <c r="AB80" s="162"/>
      <c r="AC80" s="162"/>
      <c r="AD80" s="162"/>
    </row>
    <row r="81" spans="1:30">
      <c r="A81" s="65"/>
      <c r="B81" s="82"/>
      <c r="C81" s="178"/>
      <c r="D81" s="178"/>
      <c r="E81" s="29"/>
      <c r="F81" s="73"/>
      <c r="G81" s="188" t="str">
        <f t="shared" si="0"/>
        <v/>
      </c>
      <c r="H81" s="417"/>
      <c r="I81" s="162"/>
      <c r="J81" s="162"/>
      <c r="K81" s="162"/>
      <c r="L81" s="162"/>
      <c r="M81" s="162"/>
      <c r="N81" s="162"/>
      <c r="O81" s="162"/>
      <c r="P81" s="162"/>
      <c r="Q81" s="162"/>
      <c r="R81" s="162"/>
      <c r="S81" s="162"/>
      <c r="T81" s="162"/>
      <c r="U81" s="162"/>
      <c r="V81" s="162"/>
      <c r="W81" s="162"/>
      <c r="X81" s="162"/>
      <c r="Y81" s="162"/>
      <c r="Z81" s="162"/>
      <c r="AA81" s="162"/>
      <c r="AB81" s="162"/>
      <c r="AC81" s="162"/>
      <c r="AD81" s="162"/>
    </row>
    <row r="82" spans="1:30">
      <c r="A82" s="65"/>
      <c r="B82" s="82"/>
      <c r="C82" s="178"/>
      <c r="D82" s="178"/>
      <c r="E82" s="29"/>
      <c r="F82" s="73"/>
      <c r="G82" s="188" t="str">
        <f t="shared" si="0"/>
        <v/>
      </c>
      <c r="H82" s="417"/>
      <c r="I82" s="162"/>
      <c r="J82" s="162"/>
      <c r="K82" s="162"/>
      <c r="L82" s="162"/>
      <c r="M82" s="162"/>
      <c r="N82" s="162"/>
      <c r="O82" s="162"/>
      <c r="P82" s="162"/>
      <c r="Q82" s="162"/>
      <c r="R82" s="162"/>
      <c r="S82" s="162"/>
      <c r="T82" s="162"/>
      <c r="U82" s="162"/>
      <c r="V82" s="162"/>
      <c r="W82" s="162"/>
      <c r="X82" s="162"/>
      <c r="Y82" s="162"/>
      <c r="Z82" s="162"/>
      <c r="AA82" s="162"/>
      <c r="AB82" s="162"/>
      <c r="AC82" s="162"/>
      <c r="AD82" s="162"/>
    </row>
    <row r="83" spans="1:30">
      <c r="A83" s="65"/>
      <c r="B83" s="82"/>
      <c r="C83" s="178"/>
      <c r="D83" s="178"/>
      <c r="E83" s="29"/>
      <c r="F83" s="73"/>
      <c r="G83" s="188" t="str">
        <f t="shared" si="0"/>
        <v/>
      </c>
      <c r="H83" s="417"/>
      <c r="I83" s="162"/>
      <c r="J83" s="162"/>
      <c r="K83" s="162"/>
      <c r="L83" s="162"/>
      <c r="M83" s="162"/>
      <c r="N83" s="162"/>
      <c r="O83" s="162"/>
      <c r="P83" s="162"/>
      <c r="Q83" s="162"/>
      <c r="R83" s="162"/>
      <c r="S83" s="162"/>
      <c r="T83" s="162"/>
      <c r="U83" s="162"/>
      <c r="V83" s="162"/>
      <c r="W83" s="162"/>
      <c r="X83" s="162"/>
      <c r="Y83" s="162"/>
      <c r="Z83" s="162"/>
      <c r="AA83" s="162"/>
      <c r="AB83" s="162"/>
      <c r="AC83" s="162"/>
      <c r="AD83" s="162"/>
    </row>
    <row r="84" spans="1:30">
      <c r="A84" s="65"/>
      <c r="B84" s="82"/>
      <c r="C84" s="178"/>
      <c r="D84" s="178"/>
      <c r="E84" s="29"/>
      <c r="F84" s="73"/>
      <c r="G84" s="188" t="str">
        <f t="shared" si="0"/>
        <v/>
      </c>
      <c r="H84" s="417"/>
      <c r="I84" s="162"/>
      <c r="J84" s="162"/>
      <c r="K84" s="162"/>
      <c r="L84" s="162"/>
      <c r="M84" s="162"/>
      <c r="N84" s="162"/>
      <c r="O84" s="162"/>
      <c r="P84" s="162"/>
      <c r="Q84" s="162"/>
      <c r="R84" s="162"/>
      <c r="S84" s="162"/>
      <c r="T84" s="162"/>
      <c r="U84" s="162"/>
      <c r="V84" s="162"/>
      <c r="W84" s="162"/>
      <c r="X84" s="162"/>
      <c r="Y84" s="162"/>
      <c r="Z84" s="162"/>
      <c r="AA84" s="162"/>
      <c r="AB84" s="162"/>
      <c r="AC84" s="162"/>
      <c r="AD84" s="162"/>
    </row>
    <row r="85" spans="1:30">
      <c r="A85" s="65"/>
      <c r="B85" s="82"/>
      <c r="C85" s="178"/>
      <c r="D85" s="178"/>
      <c r="E85" s="29"/>
      <c r="F85" s="73"/>
      <c r="G85" s="188" t="str">
        <f t="shared" si="0"/>
        <v/>
      </c>
      <c r="H85" s="417"/>
      <c r="I85" s="162"/>
      <c r="J85" s="162"/>
      <c r="K85" s="162"/>
      <c r="L85" s="162"/>
      <c r="M85" s="162"/>
      <c r="N85" s="162"/>
      <c r="O85" s="162"/>
      <c r="P85" s="162"/>
      <c r="Q85" s="162"/>
      <c r="R85" s="162"/>
      <c r="S85" s="162"/>
      <c r="T85" s="162"/>
      <c r="U85" s="162"/>
      <c r="V85" s="162"/>
      <c r="W85" s="162"/>
      <c r="X85" s="162"/>
      <c r="Y85" s="162"/>
      <c r="Z85" s="162"/>
      <c r="AA85" s="162"/>
      <c r="AB85" s="162"/>
      <c r="AC85" s="162"/>
      <c r="AD85" s="162"/>
    </row>
    <row r="86" spans="1:30">
      <c r="A86" s="65"/>
      <c r="B86" s="82"/>
      <c r="C86" s="178"/>
      <c r="D86" s="178"/>
      <c r="E86" s="29"/>
      <c r="F86" s="73"/>
      <c r="G86" s="188" t="str">
        <f t="shared" ref="G86:G103" si="1">IF($D86="","",IF(OR($D86="Light-Duty Cars - CNG",$D86="Light-Duty Trucks - CNG",$D86="Medium-Duty Trucks - CNG",$D86="Heavy-Duty Trucks - CNG",$D86="Buses - CNG"),"scf","gal"))</f>
        <v/>
      </c>
      <c r="H86" s="417"/>
      <c r="I86" s="162"/>
      <c r="J86" s="162"/>
      <c r="K86" s="162"/>
      <c r="L86" s="162"/>
      <c r="M86" s="162"/>
      <c r="N86" s="162"/>
      <c r="O86" s="162"/>
      <c r="P86" s="162"/>
      <c r="Q86" s="162"/>
      <c r="R86" s="162"/>
      <c r="S86" s="162"/>
      <c r="T86" s="162"/>
      <c r="U86" s="162"/>
      <c r="V86" s="162"/>
      <c r="W86" s="162"/>
      <c r="X86" s="162"/>
      <c r="Y86" s="162"/>
      <c r="Z86" s="162"/>
      <c r="AA86" s="162"/>
      <c r="AB86" s="162"/>
      <c r="AC86" s="162"/>
      <c r="AD86" s="162"/>
    </row>
    <row r="87" spans="1:30">
      <c r="A87" s="65"/>
      <c r="B87" s="82"/>
      <c r="C87" s="178"/>
      <c r="D87" s="178"/>
      <c r="E87" s="29"/>
      <c r="F87" s="73"/>
      <c r="G87" s="188" t="str">
        <f t="shared" si="1"/>
        <v/>
      </c>
      <c r="H87" s="417"/>
      <c r="I87" s="162"/>
      <c r="J87" s="162"/>
      <c r="K87" s="162"/>
      <c r="L87" s="162"/>
      <c r="M87" s="162"/>
      <c r="N87" s="162"/>
      <c r="O87" s="162"/>
      <c r="P87" s="162"/>
      <c r="Q87" s="162"/>
      <c r="R87" s="162"/>
      <c r="S87" s="162"/>
      <c r="T87" s="162"/>
      <c r="U87" s="162"/>
      <c r="V87" s="162"/>
      <c r="W87" s="162"/>
      <c r="X87" s="162"/>
      <c r="Y87" s="162"/>
      <c r="Z87" s="162"/>
      <c r="AA87" s="162"/>
      <c r="AB87" s="162"/>
      <c r="AC87" s="162"/>
      <c r="AD87" s="162"/>
    </row>
    <row r="88" spans="1:30">
      <c r="A88" s="65"/>
      <c r="B88" s="82"/>
      <c r="C88" s="178"/>
      <c r="D88" s="178"/>
      <c r="E88" s="29"/>
      <c r="F88" s="73"/>
      <c r="G88" s="188" t="str">
        <f t="shared" si="1"/>
        <v/>
      </c>
      <c r="H88" s="417"/>
      <c r="I88" s="162"/>
      <c r="J88" s="162"/>
      <c r="K88" s="162"/>
      <c r="L88" s="162"/>
      <c r="M88" s="162"/>
      <c r="N88" s="162"/>
      <c r="O88" s="162"/>
      <c r="P88" s="162"/>
      <c r="Q88" s="162"/>
      <c r="R88" s="162"/>
      <c r="S88" s="162"/>
      <c r="T88" s="162"/>
      <c r="U88" s="162"/>
      <c r="V88" s="162"/>
      <c r="W88" s="162"/>
      <c r="X88" s="162"/>
      <c r="Y88" s="162"/>
      <c r="Z88" s="162"/>
      <c r="AA88" s="162"/>
      <c r="AB88" s="162"/>
      <c r="AC88" s="162"/>
      <c r="AD88" s="162"/>
    </row>
    <row r="89" spans="1:30">
      <c r="A89" s="65"/>
      <c r="B89" s="82"/>
      <c r="C89" s="178"/>
      <c r="D89" s="178"/>
      <c r="E89" s="29"/>
      <c r="F89" s="73"/>
      <c r="G89" s="188" t="str">
        <f t="shared" si="1"/>
        <v/>
      </c>
      <c r="H89" s="417"/>
      <c r="I89" s="162"/>
      <c r="J89" s="162"/>
      <c r="K89" s="162"/>
      <c r="L89" s="162"/>
      <c r="M89" s="162"/>
      <c r="N89" s="162"/>
      <c r="O89" s="162"/>
      <c r="P89" s="162"/>
      <c r="Q89" s="162"/>
      <c r="R89" s="162"/>
      <c r="S89" s="162"/>
      <c r="T89" s="162"/>
      <c r="U89" s="162"/>
      <c r="V89" s="162"/>
      <c r="W89" s="162"/>
      <c r="X89" s="162"/>
      <c r="Y89" s="162"/>
      <c r="Z89" s="162"/>
      <c r="AA89" s="162"/>
      <c r="AB89" s="162"/>
      <c r="AC89" s="162"/>
      <c r="AD89" s="162"/>
    </row>
    <row r="90" spans="1:30">
      <c r="A90" s="65"/>
      <c r="B90" s="82"/>
      <c r="C90" s="178"/>
      <c r="D90" s="178"/>
      <c r="E90" s="29"/>
      <c r="F90" s="73"/>
      <c r="G90" s="188" t="str">
        <f t="shared" si="1"/>
        <v/>
      </c>
      <c r="H90" s="417"/>
      <c r="I90" s="162"/>
      <c r="J90" s="162"/>
      <c r="K90" s="162"/>
      <c r="L90" s="162"/>
      <c r="M90" s="162"/>
      <c r="N90" s="162"/>
      <c r="O90" s="162"/>
      <c r="P90" s="162"/>
      <c r="Q90" s="162"/>
      <c r="R90" s="162"/>
      <c r="S90" s="162"/>
      <c r="T90" s="162"/>
      <c r="U90" s="162"/>
      <c r="V90" s="162"/>
      <c r="W90" s="162"/>
      <c r="X90" s="162"/>
      <c r="Y90" s="162"/>
      <c r="Z90" s="162"/>
      <c r="AA90" s="162"/>
      <c r="AB90" s="162"/>
      <c r="AC90" s="162"/>
      <c r="AD90" s="162"/>
    </row>
    <row r="91" spans="1:30">
      <c r="A91" s="65"/>
      <c r="B91" s="82"/>
      <c r="C91" s="178"/>
      <c r="D91" s="178"/>
      <c r="E91" s="29"/>
      <c r="F91" s="73"/>
      <c r="G91" s="188" t="str">
        <f t="shared" si="1"/>
        <v/>
      </c>
      <c r="H91" s="417"/>
      <c r="I91" s="162"/>
      <c r="J91" s="162"/>
      <c r="K91" s="162"/>
      <c r="L91" s="162"/>
      <c r="M91" s="162"/>
      <c r="N91" s="162"/>
      <c r="O91" s="162"/>
      <c r="P91" s="162"/>
      <c r="Q91" s="162"/>
      <c r="R91" s="162"/>
      <c r="S91" s="162"/>
      <c r="T91" s="162"/>
      <c r="U91" s="162"/>
      <c r="V91" s="162"/>
      <c r="W91" s="162"/>
      <c r="X91" s="162"/>
      <c r="Y91" s="162"/>
      <c r="Z91" s="162"/>
      <c r="AA91" s="162"/>
      <c r="AB91" s="162"/>
      <c r="AC91" s="162"/>
      <c r="AD91" s="162"/>
    </row>
    <row r="92" spans="1:30">
      <c r="A92" s="65"/>
      <c r="B92" s="82"/>
      <c r="C92" s="178"/>
      <c r="D92" s="178"/>
      <c r="E92" s="29"/>
      <c r="F92" s="73"/>
      <c r="G92" s="188" t="str">
        <f t="shared" si="1"/>
        <v/>
      </c>
      <c r="H92" s="417"/>
      <c r="I92" s="162"/>
      <c r="J92" s="162"/>
      <c r="K92" s="162"/>
      <c r="L92" s="162"/>
      <c r="M92" s="162"/>
      <c r="N92" s="162"/>
      <c r="O92" s="162"/>
      <c r="P92" s="162"/>
      <c r="Q92" s="162"/>
      <c r="R92" s="162"/>
      <c r="S92" s="162"/>
      <c r="T92" s="162"/>
      <c r="U92" s="162"/>
      <c r="V92" s="162"/>
      <c r="W92" s="162"/>
      <c r="X92" s="162"/>
      <c r="Y92" s="162"/>
      <c r="Z92" s="162"/>
      <c r="AA92" s="162"/>
      <c r="AB92" s="162"/>
      <c r="AC92" s="162"/>
      <c r="AD92" s="162"/>
    </row>
    <row r="93" spans="1:30">
      <c r="A93" s="65"/>
      <c r="B93" s="82"/>
      <c r="C93" s="178"/>
      <c r="D93" s="178"/>
      <c r="E93" s="29"/>
      <c r="F93" s="73"/>
      <c r="G93" s="188" t="str">
        <f t="shared" si="1"/>
        <v/>
      </c>
      <c r="H93" s="417"/>
      <c r="I93" s="162"/>
      <c r="J93" s="162"/>
      <c r="K93" s="162"/>
      <c r="L93" s="162"/>
      <c r="M93" s="162"/>
      <c r="N93" s="162"/>
      <c r="O93" s="162"/>
      <c r="P93" s="162"/>
      <c r="Q93" s="162"/>
      <c r="R93" s="162"/>
      <c r="S93" s="162"/>
      <c r="T93" s="162"/>
      <c r="U93" s="162"/>
      <c r="V93" s="162"/>
      <c r="W93" s="162"/>
      <c r="X93" s="162"/>
      <c r="Y93" s="162"/>
      <c r="Z93" s="162"/>
      <c r="AA93" s="162"/>
      <c r="AB93" s="162"/>
      <c r="AC93" s="162"/>
      <c r="AD93" s="162"/>
    </row>
    <row r="94" spans="1:30">
      <c r="A94" s="65"/>
      <c r="B94" s="82"/>
      <c r="C94" s="178"/>
      <c r="D94" s="178"/>
      <c r="E94" s="29"/>
      <c r="F94" s="73"/>
      <c r="G94" s="188" t="str">
        <f t="shared" si="1"/>
        <v/>
      </c>
      <c r="H94" s="417"/>
      <c r="I94" s="162"/>
      <c r="J94" s="162"/>
      <c r="K94" s="162"/>
      <c r="L94" s="162"/>
      <c r="M94" s="162"/>
      <c r="N94" s="162"/>
      <c r="O94" s="162"/>
      <c r="P94" s="162"/>
      <c r="Q94" s="162"/>
      <c r="R94" s="162"/>
      <c r="S94" s="162"/>
      <c r="T94" s="162"/>
      <c r="U94" s="162"/>
      <c r="V94" s="162"/>
      <c r="W94" s="162"/>
      <c r="X94" s="162"/>
      <c r="Y94" s="162"/>
      <c r="Z94" s="162"/>
      <c r="AA94" s="162"/>
      <c r="AB94" s="162"/>
      <c r="AC94" s="162"/>
      <c r="AD94" s="162"/>
    </row>
    <row r="95" spans="1:30">
      <c r="A95" s="65"/>
      <c r="B95" s="82"/>
      <c r="C95" s="178"/>
      <c r="D95" s="178"/>
      <c r="E95" s="29"/>
      <c r="F95" s="73"/>
      <c r="G95" s="188" t="str">
        <f t="shared" si="1"/>
        <v/>
      </c>
      <c r="H95" s="417"/>
      <c r="I95" s="162"/>
      <c r="J95" s="162"/>
      <c r="K95" s="162"/>
      <c r="L95" s="162"/>
      <c r="M95" s="162"/>
      <c r="N95" s="162"/>
      <c r="O95" s="162"/>
      <c r="P95" s="162"/>
      <c r="Q95" s="162"/>
      <c r="R95" s="162"/>
      <c r="S95" s="162"/>
      <c r="T95" s="162"/>
      <c r="U95" s="162"/>
      <c r="V95" s="162"/>
      <c r="W95" s="162"/>
      <c r="X95" s="162"/>
      <c r="Y95" s="162"/>
      <c r="Z95" s="162"/>
      <c r="AA95" s="162"/>
      <c r="AB95" s="162"/>
      <c r="AC95" s="162"/>
      <c r="AD95" s="162"/>
    </row>
    <row r="96" spans="1:30">
      <c r="A96" s="65"/>
      <c r="B96" s="82"/>
      <c r="C96" s="178"/>
      <c r="D96" s="178"/>
      <c r="E96" s="29"/>
      <c r="F96" s="73"/>
      <c r="G96" s="188" t="str">
        <f t="shared" si="1"/>
        <v/>
      </c>
      <c r="H96" s="417"/>
      <c r="I96" s="162"/>
      <c r="J96" s="162"/>
      <c r="K96" s="162"/>
      <c r="L96" s="162"/>
      <c r="M96" s="162"/>
      <c r="N96" s="162"/>
      <c r="O96" s="162"/>
      <c r="P96" s="162"/>
      <c r="Q96" s="162"/>
      <c r="R96" s="162"/>
      <c r="S96" s="162"/>
      <c r="T96" s="162"/>
      <c r="U96" s="162"/>
      <c r="V96" s="162"/>
      <c r="W96" s="162"/>
      <c r="X96" s="162"/>
      <c r="Y96" s="162"/>
      <c r="Z96" s="162"/>
      <c r="AA96" s="162"/>
      <c r="AB96" s="162"/>
      <c r="AC96" s="162"/>
      <c r="AD96" s="162"/>
    </row>
    <row r="97" spans="1:30">
      <c r="A97" s="65"/>
      <c r="B97" s="82"/>
      <c r="C97" s="178"/>
      <c r="D97" s="178"/>
      <c r="E97" s="29"/>
      <c r="F97" s="73"/>
      <c r="G97" s="188" t="str">
        <f t="shared" si="1"/>
        <v/>
      </c>
      <c r="H97" s="417"/>
      <c r="I97" s="162"/>
      <c r="J97" s="162"/>
      <c r="K97" s="162"/>
      <c r="L97" s="162"/>
      <c r="M97" s="162"/>
      <c r="N97" s="162"/>
      <c r="O97" s="162"/>
      <c r="P97" s="162"/>
      <c r="Q97" s="162"/>
      <c r="R97" s="162"/>
      <c r="S97" s="162"/>
      <c r="T97" s="162"/>
      <c r="U97" s="162"/>
      <c r="V97" s="162"/>
      <c r="W97" s="162"/>
      <c r="X97" s="162"/>
      <c r="Y97" s="162"/>
      <c r="Z97" s="162"/>
      <c r="AA97" s="162"/>
      <c r="AB97" s="162"/>
      <c r="AC97" s="162"/>
      <c r="AD97" s="162"/>
    </row>
    <row r="98" spans="1:30">
      <c r="A98" s="65"/>
      <c r="B98" s="82"/>
      <c r="C98" s="178"/>
      <c r="D98" s="178"/>
      <c r="E98" s="29"/>
      <c r="F98" s="73"/>
      <c r="G98" s="188" t="str">
        <f t="shared" si="1"/>
        <v/>
      </c>
      <c r="H98" s="417"/>
      <c r="I98" s="162"/>
      <c r="J98" s="162"/>
      <c r="K98" s="162"/>
      <c r="L98" s="162"/>
      <c r="M98" s="162"/>
      <c r="N98" s="162"/>
      <c r="O98" s="162"/>
      <c r="P98" s="162"/>
      <c r="Q98" s="162"/>
      <c r="R98" s="162"/>
      <c r="S98" s="162"/>
      <c r="T98" s="162"/>
      <c r="U98" s="162"/>
      <c r="V98" s="162"/>
      <c r="W98" s="162"/>
      <c r="X98" s="162"/>
      <c r="Y98" s="162"/>
      <c r="Z98" s="162"/>
      <c r="AA98" s="162"/>
      <c r="AB98" s="162"/>
      <c r="AC98" s="162"/>
      <c r="AD98" s="162"/>
    </row>
    <row r="99" spans="1:30">
      <c r="A99" s="65"/>
      <c r="B99" s="82"/>
      <c r="C99" s="178"/>
      <c r="D99" s="178"/>
      <c r="E99" s="29"/>
      <c r="F99" s="73"/>
      <c r="G99" s="188" t="str">
        <f t="shared" si="1"/>
        <v/>
      </c>
      <c r="H99" s="417"/>
      <c r="I99" s="162"/>
      <c r="J99" s="162"/>
      <c r="K99" s="162"/>
      <c r="L99" s="162"/>
      <c r="M99" s="162"/>
      <c r="N99" s="162"/>
      <c r="O99" s="162"/>
      <c r="P99" s="162"/>
      <c r="Q99" s="162"/>
      <c r="R99" s="162"/>
      <c r="S99" s="162"/>
      <c r="T99" s="162"/>
      <c r="U99" s="162"/>
      <c r="V99" s="162"/>
      <c r="W99" s="162"/>
      <c r="X99" s="162"/>
      <c r="Y99" s="162"/>
      <c r="Z99" s="162"/>
      <c r="AA99" s="162"/>
      <c r="AB99" s="162"/>
      <c r="AC99" s="162"/>
      <c r="AD99" s="162"/>
    </row>
    <row r="100" spans="1:30">
      <c r="A100" s="65"/>
      <c r="B100" s="82"/>
      <c r="C100" s="178"/>
      <c r="D100" s="178"/>
      <c r="E100" s="29"/>
      <c r="F100" s="73"/>
      <c r="G100" s="188" t="str">
        <f t="shared" si="1"/>
        <v/>
      </c>
      <c r="H100" s="417"/>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row>
    <row r="101" spans="1:30">
      <c r="A101" s="65"/>
      <c r="B101" s="82"/>
      <c r="C101" s="178"/>
      <c r="D101" s="178"/>
      <c r="E101" s="29"/>
      <c r="F101" s="73"/>
      <c r="G101" s="188" t="str">
        <f t="shared" si="1"/>
        <v/>
      </c>
      <c r="H101" s="417"/>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row>
    <row r="102" spans="1:30">
      <c r="A102" s="65"/>
      <c r="B102" s="82"/>
      <c r="C102" s="178"/>
      <c r="D102" s="178"/>
      <c r="E102" s="29"/>
      <c r="F102" s="73"/>
      <c r="G102" s="188" t="str">
        <f t="shared" si="1"/>
        <v/>
      </c>
      <c r="H102" s="417"/>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row>
    <row r="103" spans="1:30" ht="13.5" thickBot="1">
      <c r="A103" s="66"/>
      <c r="B103" s="83"/>
      <c r="C103" s="181"/>
      <c r="D103" s="67"/>
      <c r="E103" s="67"/>
      <c r="F103" s="74"/>
      <c r="G103" s="763" t="str">
        <f t="shared" si="1"/>
        <v/>
      </c>
      <c r="H103" s="764"/>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row>
    <row r="104" spans="1:30">
      <c r="A104" s="249"/>
      <c r="B104" s="249"/>
      <c r="C104" s="249"/>
      <c r="D104" s="249"/>
      <c r="E104" s="250"/>
      <c r="F104" s="183"/>
      <c r="G104" s="250"/>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row>
    <row r="105" spans="1:30">
      <c r="A105" s="7" t="s">
        <v>314</v>
      </c>
      <c r="B105" s="7"/>
      <c r="C105" s="4"/>
      <c r="D105" s="4"/>
      <c r="E105" s="4"/>
      <c r="F105" s="4"/>
      <c r="G105" s="4"/>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row>
    <row r="106" spans="1:30">
      <c r="A106" s="1209" t="s">
        <v>135</v>
      </c>
      <c r="B106" s="1210"/>
      <c r="C106" s="1211"/>
      <c r="D106" s="1205" t="s">
        <v>399</v>
      </c>
      <c r="E106" s="1206"/>
      <c r="F106" s="162"/>
      <c r="G106" s="4"/>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row>
    <row r="107" spans="1:30">
      <c r="A107" s="972" t="s">
        <v>134</v>
      </c>
      <c r="B107" s="973"/>
      <c r="C107" s="974"/>
      <c r="D107" s="972"/>
      <c r="E107" s="976">
        <v>25.3</v>
      </c>
      <c r="F107" s="347"/>
      <c r="G107" s="4"/>
      <c r="H107" s="162"/>
      <c r="I107" s="183"/>
      <c r="J107" s="162"/>
      <c r="K107" s="162"/>
      <c r="L107" s="162"/>
      <c r="M107" s="162"/>
      <c r="N107" s="162"/>
      <c r="O107" s="162"/>
      <c r="P107" s="162"/>
      <c r="Q107" s="162"/>
      <c r="R107" s="162"/>
      <c r="S107" s="162"/>
      <c r="T107" s="162"/>
      <c r="U107" s="162"/>
      <c r="V107" s="162"/>
      <c r="W107" s="162"/>
      <c r="X107" s="162"/>
      <c r="Y107" s="162"/>
      <c r="Z107" s="162"/>
      <c r="AA107" s="162"/>
      <c r="AB107" s="162"/>
      <c r="AC107" s="162"/>
      <c r="AD107" s="162"/>
    </row>
    <row r="108" spans="1:30">
      <c r="A108" s="972" t="s">
        <v>133</v>
      </c>
      <c r="B108" s="973"/>
      <c r="C108" s="974"/>
      <c r="D108" s="972"/>
      <c r="E108" s="976">
        <v>43.96</v>
      </c>
      <c r="F108" s="347"/>
      <c r="G108" s="4"/>
      <c r="H108" s="162"/>
      <c r="I108" s="183"/>
      <c r="J108" s="162"/>
      <c r="K108" s="162"/>
      <c r="L108" s="162"/>
      <c r="M108" s="162"/>
      <c r="N108" s="162"/>
      <c r="O108" s="162"/>
      <c r="P108" s="162"/>
      <c r="Q108" s="162"/>
      <c r="R108" s="162"/>
      <c r="S108" s="162"/>
      <c r="T108" s="162"/>
      <c r="U108" s="162"/>
      <c r="V108" s="162"/>
      <c r="W108" s="162"/>
      <c r="X108" s="162"/>
      <c r="Y108" s="162"/>
      <c r="Z108" s="162"/>
      <c r="AA108" s="162"/>
      <c r="AB108" s="162"/>
      <c r="AC108" s="162"/>
      <c r="AD108" s="162"/>
    </row>
    <row r="109" spans="1:30">
      <c r="A109" s="975" t="s">
        <v>104</v>
      </c>
      <c r="B109" s="973"/>
      <c r="C109" s="974"/>
      <c r="D109" s="972"/>
      <c r="E109" s="976">
        <v>7.34</v>
      </c>
      <c r="F109" s="347"/>
      <c r="G109" s="4"/>
      <c r="H109" s="162"/>
      <c r="I109" s="183"/>
      <c r="J109" s="162"/>
      <c r="K109" s="162"/>
      <c r="L109" s="162"/>
      <c r="M109" s="162"/>
      <c r="N109" s="162"/>
      <c r="O109" s="162"/>
      <c r="P109" s="162"/>
      <c r="Q109" s="162"/>
      <c r="R109" s="162"/>
      <c r="S109" s="162"/>
      <c r="T109" s="162"/>
      <c r="U109" s="162"/>
      <c r="V109" s="162"/>
      <c r="W109" s="162"/>
      <c r="X109" s="162"/>
      <c r="Y109" s="162"/>
      <c r="Z109" s="162"/>
      <c r="AA109" s="162"/>
      <c r="AB109" s="162"/>
      <c r="AC109" s="162"/>
      <c r="AD109" s="162"/>
    </row>
    <row r="110" spans="1:30">
      <c r="A110" s="975" t="s">
        <v>660</v>
      </c>
      <c r="B110" s="973"/>
      <c r="C110" s="974"/>
      <c r="D110" s="972"/>
      <c r="E110" s="976">
        <v>18</v>
      </c>
      <c r="F110" s="347"/>
      <c r="G110" s="4"/>
      <c r="H110" s="162"/>
      <c r="I110" s="183"/>
      <c r="J110" s="162"/>
      <c r="K110" s="162"/>
      <c r="L110" s="162"/>
      <c r="M110" s="162"/>
      <c r="N110" s="162"/>
      <c r="O110" s="162"/>
      <c r="P110" s="162"/>
      <c r="Q110" s="162"/>
      <c r="R110" s="162"/>
      <c r="S110" s="162"/>
      <c r="T110" s="162"/>
      <c r="U110" s="162"/>
      <c r="V110" s="162"/>
      <c r="W110" s="162"/>
      <c r="X110" s="162"/>
      <c r="Y110" s="162"/>
      <c r="Z110" s="162"/>
      <c r="AA110" s="162"/>
      <c r="AB110" s="162"/>
      <c r="AC110" s="162"/>
      <c r="AD110" s="162"/>
    </row>
    <row r="111" spans="1:30">
      <c r="A111" s="975" t="s">
        <v>661</v>
      </c>
      <c r="B111" s="973"/>
      <c r="C111" s="974"/>
      <c r="D111" s="972"/>
      <c r="E111" s="976">
        <v>7.6</v>
      </c>
      <c r="F111" s="347"/>
      <c r="G111" s="4"/>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row>
    <row r="112" spans="1:30">
      <c r="A112" s="972" t="s">
        <v>136</v>
      </c>
      <c r="B112" s="973"/>
      <c r="C112" s="974"/>
      <c r="D112" s="972"/>
      <c r="E112" s="976">
        <v>6.2</v>
      </c>
      <c r="F112" s="347"/>
      <c r="G112" s="4"/>
      <c r="H112" s="162"/>
      <c r="I112" s="183"/>
      <c r="J112" s="162"/>
      <c r="K112" s="162"/>
      <c r="L112" s="162"/>
      <c r="M112" s="162"/>
      <c r="N112" s="162"/>
      <c r="O112" s="162"/>
      <c r="P112" s="162"/>
      <c r="Q112" s="162"/>
      <c r="R112" s="162"/>
      <c r="S112" s="162"/>
      <c r="T112" s="162"/>
      <c r="U112" s="162"/>
      <c r="V112" s="162"/>
      <c r="W112" s="162"/>
      <c r="X112" s="162"/>
      <c r="Y112" s="162"/>
      <c r="Z112" s="162"/>
      <c r="AA112" s="162"/>
      <c r="AB112" s="162"/>
      <c r="AC112" s="162"/>
      <c r="AD112" s="162"/>
    </row>
    <row r="113" spans="1:30">
      <c r="A113" s="253" t="s">
        <v>1308</v>
      </c>
      <c r="B113" s="4"/>
      <c r="C113" s="10"/>
      <c r="D113" s="10"/>
      <c r="E113" s="4"/>
      <c r="F113" s="4"/>
      <c r="G113" s="4"/>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row>
    <row r="114" spans="1:30">
      <c r="A114" s="312"/>
      <c r="B114" s="4"/>
      <c r="C114" s="10"/>
      <c r="D114" s="10"/>
      <c r="E114" s="4"/>
      <c r="F114" s="4"/>
      <c r="G114" s="4"/>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row>
    <row r="115" spans="1:30">
      <c r="A115" s="251" t="s">
        <v>316</v>
      </c>
      <c r="B115" s="221"/>
      <c r="C115" s="222"/>
      <c r="D115" s="222"/>
      <c r="E115" s="221"/>
      <c r="F115" s="221"/>
      <c r="G115" s="221"/>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row>
    <row r="116" spans="1:30">
      <c r="A116" s="161"/>
      <c r="B116" s="162"/>
      <c r="C116" s="253"/>
      <c r="D116" s="253"/>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row>
    <row r="117" spans="1:30" ht="15" thickBot="1">
      <c r="A117" s="7" t="s">
        <v>1251</v>
      </c>
      <c r="B117" s="7"/>
      <c r="C117" s="7"/>
      <c r="D117" s="4"/>
      <c r="E117" s="4"/>
      <c r="F117" s="4"/>
      <c r="G117" s="4"/>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row>
    <row r="118" spans="1:30" ht="14.25">
      <c r="A118" s="1196" t="s">
        <v>161</v>
      </c>
      <c r="B118" s="1207"/>
      <c r="C118" s="1197"/>
      <c r="D118" s="1216" t="s">
        <v>185</v>
      </c>
      <c r="E118" s="1216" t="s">
        <v>159</v>
      </c>
      <c r="F118" s="45" t="s">
        <v>97</v>
      </c>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row>
    <row r="119" spans="1:30" ht="13.5" thickBot="1">
      <c r="A119" s="1198"/>
      <c r="B119" s="1208"/>
      <c r="C119" s="1199"/>
      <c r="D119" s="1217"/>
      <c r="E119" s="1217"/>
      <c r="F119" s="114" t="s">
        <v>174</v>
      </c>
      <c r="G119" s="4"/>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row>
    <row r="120" spans="1:30">
      <c r="A120" s="57" t="s">
        <v>186</v>
      </c>
      <c r="B120" s="140"/>
      <c r="C120" s="140"/>
      <c r="D120" s="740">
        <f>SUMIF($D$23:$D$103,"*- Gasoline*",$F$23:$F$103)</f>
        <v>8725</v>
      </c>
      <c r="E120" s="141" t="s">
        <v>168</v>
      </c>
      <c r="F120" s="142">
        <f>IF($D120="","",Mobile_gas_CO2fctr*$D120)</f>
        <v>76605.5</v>
      </c>
      <c r="G120" s="4"/>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row>
    <row r="121" spans="1:30">
      <c r="A121" s="46" t="s">
        <v>187</v>
      </c>
      <c r="B121" s="47"/>
      <c r="C121" s="47"/>
      <c r="D121" s="139">
        <f>SUMIF($D$23:$D$103,"*- Diesel",$F$23:$F$103)</f>
        <v>0</v>
      </c>
      <c r="E121" s="49" t="s">
        <v>168</v>
      </c>
      <c r="F121" s="99">
        <f>IF($D121="","",Mobile_diesel_CO2fctr*$D121)</f>
        <v>0</v>
      </c>
      <c r="G121" s="4"/>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row>
    <row r="122" spans="1:30">
      <c r="A122" s="46" t="s">
        <v>735</v>
      </c>
      <c r="B122" s="47"/>
      <c r="C122" s="47"/>
      <c r="D122" s="139">
        <f>SUMIF($D$23:$D$103,"*Residual*",$F$23:$F$103)</f>
        <v>0</v>
      </c>
      <c r="E122" s="49" t="s">
        <v>168</v>
      </c>
      <c r="F122" s="99">
        <f>IF($D122="","",Mobile_FuelOil_CO2fctr*$D122)</f>
        <v>0</v>
      </c>
      <c r="G122" s="4"/>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row>
    <row r="123" spans="1:30">
      <c r="A123" s="46" t="s">
        <v>556</v>
      </c>
      <c r="B123" s="47"/>
      <c r="C123" s="47"/>
      <c r="D123" s="48">
        <f>SUMIF($D$23:$D$103,"*Aviation Gasoline*",$F$23:$F$103)</f>
        <v>0</v>
      </c>
      <c r="E123" s="49" t="s">
        <v>168</v>
      </c>
      <c r="F123" s="99">
        <f>IF($D123="","",Mobile_Avgas_CO2fctr*$D123)</f>
        <v>0</v>
      </c>
      <c r="G123" s="4"/>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row>
    <row r="124" spans="1:30">
      <c r="A124" s="46" t="s">
        <v>738</v>
      </c>
      <c r="B124" s="47"/>
      <c r="C124" s="47"/>
      <c r="D124" s="48">
        <f>SUMIF($D$23:$D$103,"*Jet*",$F$23:$F$103)</f>
        <v>0</v>
      </c>
      <c r="E124" s="49" t="s">
        <v>168</v>
      </c>
      <c r="F124" s="99">
        <f>IF($D124="","",Mobile_Jet_Fuel_CO2fctr*$D124)</f>
        <v>0</v>
      </c>
      <c r="G124" s="4"/>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row>
    <row r="125" spans="1:30">
      <c r="A125" s="180" t="s">
        <v>709</v>
      </c>
      <c r="B125" s="47"/>
      <c r="C125" s="47"/>
      <c r="D125" s="48">
        <f>SUMIF($D$23:$D$103,"*LPG*",$F$23:$F$103)</f>
        <v>0</v>
      </c>
      <c r="E125" s="49" t="s">
        <v>168</v>
      </c>
      <c r="F125" s="99">
        <f>IF($D125="","",Mobile_LPG_CO2fctr*$D125)</f>
        <v>0</v>
      </c>
      <c r="G125" s="4"/>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row>
    <row r="126" spans="1:30">
      <c r="A126" s="739" t="s">
        <v>183</v>
      </c>
      <c r="B126" s="47"/>
      <c r="C126" s="615"/>
      <c r="D126" s="48">
        <f>SUMIF($D$23:$D$103,"*Ethanol*",$F$23:$F$103)</f>
        <v>0</v>
      </c>
      <c r="E126" s="49" t="s">
        <v>168</v>
      </c>
      <c r="F126" s="99">
        <f>IF(D126="","",Mobile_gas_CO2fctr*(100-$D$16)/100*$D126)</f>
        <v>0</v>
      </c>
      <c r="G126" s="10" t="s">
        <v>1255</v>
      </c>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row>
    <row r="127" spans="1:30">
      <c r="A127" s="739" t="s">
        <v>1035</v>
      </c>
      <c r="B127" s="47"/>
      <c r="C127" s="615"/>
      <c r="D127" s="48">
        <f>SUMIF($D$23:$D$103,"*- Biodiesel",$F$23:$F$103)</f>
        <v>210</v>
      </c>
      <c r="E127" s="49" t="s">
        <v>168</v>
      </c>
      <c r="F127" s="99">
        <f>IF(D127="","",Mobile_diesel_CO2fctr*(100-$D$15)/100*$D127)</f>
        <v>1715.2800000000002</v>
      </c>
      <c r="G127" s="10" t="s">
        <v>1256</v>
      </c>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row>
    <row r="128" spans="1:30">
      <c r="A128" s="699" t="s">
        <v>103</v>
      </c>
      <c r="B128" s="700"/>
      <c r="C128" s="700"/>
      <c r="D128" s="48">
        <f>SUMIF($D$23:$D$103,"*LNG*",$F$23:$F$103)</f>
        <v>0</v>
      </c>
      <c r="E128" s="49" t="s">
        <v>168</v>
      </c>
      <c r="F128" s="99">
        <f>IF($D128="","",Mobile_LNG_CO2fctr*$D128)</f>
        <v>0</v>
      </c>
      <c r="G128" s="162"/>
      <c r="H128" s="480"/>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row>
    <row r="129" spans="1:30" ht="13.5" thickBot="1">
      <c r="A129" s="136" t="s">
        <v>14</v>
      </c>
      <c r="B129" s="701"/>
      <c r="C129" s="137"/>
      <c r="D129" s="698">
        <f>SUMIF($D$23:$D$103,"*CNG*",$F$23:$F$103)</f>
        <v>0</v>
      </c>
      <c r="E129" s="110" t="s">
        <v>167</v>
      </c>
      <c r="F129" s="111">
        <f>IF($D129="","",Mobile_CNG_CO2fctr*$D129)</f>
        <v>0</v>
      </c>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row>
    <row r="130" spans="1:30">
      <c r="A130" s="4"/>
      <c r="B130" s="4"/>
      <c r="C130" s="4"/>
      <c r="D130" s="4"/>
      <c r="E130" s="4"/>
      <c r="F130" s="4"/>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row>
    <row r="131" spans="1:30" ht="15" thickBot="1">
      <c r="A131" s="161" t="s">
        <v>1252</v>
      </c>
      <c r="B131" s="161"/>
      <c r="C131" s="161"/>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row>
    <row r="132" spans="1:30" ht="15" thickBot="1">
      <c r="A132" s="1190" t="s">
        <v>135</v>
      </c>
      <c r="B132" s="1191"/>
      <c r="C132" s="189" t="s">
        <v>252</v>
      </c>
      <c r="D132" s="189" t="s">
        <v>253</v>
      </c>
      <c r="E132" s="189" t="s">
        <v>254</v>
      </c>
      <c r="F132" s="190" t="s">
        <v>255</v>
      </c>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row>
    <row r="133" spans="1:30" s="162" customFormat="1">
      <c r="A133" s="714" t="s">
        <v>1125</v>
      </c>
      <c r="C133" s="886" t="s">
        <v>1024</v>
      </c>
      <c r="D133" s="887" cm="1">
        <f t="array" ref="D133">SUMPRODUCT(--($D$23:$D$103=$A$133),--($E$23:$E$103&lt;=1993),--($H$23:$H$103))</f>
        <v>0</v>
      </c>
      <c r="E133" s="888">
        <f>VLOOKUP(C133,Gas_Pass_Car_CH4_N2O, 2,FALSE)*D133</f>
        <v>0</v>
      </c>
      <c r="F133" s="888">
        <f t="shared" ref="F133:F144" si="2">VLOOKUP(C133,Gas_Pass_Car_CH4_N2O, 3,FALSE)*D133</f>
        <v>0</v>
      </c>
    </row>
    <row r="134" spans="1:30" s="162" customFormat="1">
      <c r="A134" s="438"/>
      <c r="C134" s="439">
        <v>1994</v>
      </c>
      <c r="D134" s="889" cm="1">
        <f t="array" ref="D134">SUMPRODUCT(--($D$23:$D$103=$A$133),--($E$23:$E$103=$C134),--($H$23:$H$103))</f>
        <v>0</v>
      </c>
      <c r="E134" s="890">
        <f t="shared" ref="E134:E144" si="3">VLOOKUP(C134,Gas_Pass_Car_CH4_N2O, 2,FALSE)*D134</f>
        <v>0</v>
      </c>
      <c r="F134" s="891">
        <f t="shared" si="2"/>
        <v>0</v>
      </c>
    </row>
    <row r="135" spans="1:30" s="162" customFormat="1">
      <c r="A135" s="438"/>
      <c r="C135" s="439">
        <v>1995</v>
      </c>
      <c r="D135" s="889">
        <f t="shared" ref="D135:D156" si="4">SUMPRODUCT(--($D$23:$D$103=$A$133),--($E$23:$E$103=$C135),--($H$23:$H$103))</f>
        <v>0</v>
      </c>
      <c r="E135" s="890">
        <f t="shared" si="3"/>
        <v>0</v>
      </c>
      <c r="F135" s="891">
        <f t="shared" si="2"/>
        <v>0</v>
      </c>
    </row>
    <row r="136" spans="1:30" s="162" customFormat="1">
      <c r="A136" s="438"/>
      <c r="C136" s="439">
        <v>1996</v>
      </c>
      <c r="D136" s="889">
        <f t="shared" si="4"/>
        <v>0</v>
      </c>
      <c r="E136" s="890">
        <f t="shared" si="3"/>
        <v>0</v>
      </c>
      <c r="F136" s="891">
        <f t="shared" si="2"/>
        <v>0</v>
      </c>
    </row>
    <row r="137" spans="1:30" s="162" customFormat="1">
      <c r="A137" s="438"/>
      <c r="C137" s="439">
        <v>1997</v>
      </c>
      <c r="D137" s="889">
        <f t="shared" si="4"/>
        <v>0</v>
      </c>
      <c r="E137" s="890">
        <f t="shared" si="3"/>
        <v>0</v>
      </c>
      <c r="F137" s="891">
        <f t="shared" si="2"/>
        <v>0</v>
      </c>
    </row>
    <row r="138" spans="1:30" s="162" customFormat="1">
      <c r="A138" s="438"/>
      <c r="C138" s="439">
        <v>1998</v>
      </c>
      <c r="D138" s="889">
        <f t="shared" si="4"/>
        <v>0</v>
      </c>
      <c r="E138" s="890">
        <f t="shared" si="3"/>
        <v>0</v>
      </c>
      <c r="F138" s="892">
        <f t="shared" si="2"/>
        <v>0</v>
      </c>
    </row>
    <row r="139" spans="1:30" s="162" customFormat="1">
      <c r="A139" s="438"/>
      <c r="C139" s="439">
        <v>1999</v>
      </c>
      <c r="D139" s="889">
        <f t="shared" si="4"/>
        <v>0</v>
      </c>
      <c r="E139" s="890">
        <f t="shared" si="3"/>
        <v>0</v>
      </c>
      <c r="F139" s="892">
        <f t="shared" si="2"/>
        <v>0</v>
      </c>
    </row>
    <row r="140" spans="1:30" s="162" customFormat="1">
      <c r="A140" s="438"/>
      <c r="C140" s="439">
        <v>2000</v>
      </c>
      <c r="D140" s="889">
        <f t="shared" si="4"/>
        <v>0</v>
      </c>
      <c r="E140" s="890">
        <f t="shared" si="3"/>
        <v>0</v>
      </c>
      <c r="F140" s="892">
        <f t="shared" si="2"/>
        <v>0</v>
      </c>
    </row>
    <row r="141" spans="1:30" s="162" customFormat="1">
      <c r="A141" s="438"/>
      <c r="C141" s="439">
        <v>2001</v>
      </c>
      <c r="D141" s="889">
        <f t="shared" si="4"/>
        <v>0</v>
      </c>
      <c r="E141" s="890">
        <f t="shared" si="3"/>
        <v>0</v>
      </c>
      <c r="F141" s="892">
        <f t="shared" si="2"/>
        <v>0</v>
      </c>
    </row>
    <row r="142" spans="1:30" s="162" customFormat="1">
      <c r="A142" s="438"/>
      <c r="C142" s="439">
        <v>2002</v>
      </c>
      <c r="D142" s="889">
        <f t="shared" si="4"/>
        <v>0</v>
      </c>
      <c r="E142" s="890">
        <f t="shared" si="3"/>
        <v>0</v>
      </c>
      <c r="F142" s="892">
        <f t="shared" si="2"/>
        <v>0</v>
      </c>
    </row>
    <row r="143" spans="1:30" s="162" customFormat="1">
      <c r="A143" s="438"/>
      <c r="C143" s="439">
        <v>2003</v>
      </c>
      <c r="D143" s="889">
        <f t="shared" si="4"/>
        <v>0</v>
      </c>
      <c r="E143" s="890">
        <f t="shared" si="3"/>
        <v>0</v>
      </c>
      <c r="F143" s="892">
        <f t="shared" si="2"/>
        <v>0</v>
      </c>
    </row>
    <row r="144" spans="1:30" s="162" customFormat="1">
      <c r="A144" s="438"/>
      <c r="C144" s="439">
        <v>2004</v>
      </c>
      <c r="D144" s="889">
        <f t="shared" si="4"/>
        <v>0</v>
      </c>
      <c r="E144" s="890">
        <f t="shared" si="3"/>
        <v>0</v>
      </c>
      <c r="F144" s="892">
        <f t="shared" si="2"/>
        <v>0</v>
      </c>
    </row>
    <row r="145" spans="1:6" s="162" customFormat="1">
      <c r="A145" s="438"/>
      <c r="C145" s="440">
        <v>2005</v>
      </c>
      <c r="D145" s="889">
        <f t="shared" si="4"/>
        <v>0</v>
      </c>
      <c r="E145" s="890">
        <f t="shared" ref="E145:E157" si="5">VLOOKUP(C145,Gas_Pass_Car_CH4_N2O, 2,FALSE)*D145</f>
        <v>0</v>
      </c>
      <c r="F145" s="892">
        <f t="shared" ref="F145:F157" si="6">VLOOKUP(C145,Gas_Pass_Car_CH4_N2O, 3,FALSE)*D145</f>
        <v>0</v>
      </c>
    </row>
    <row r="146" spans="1:6" s="162" customFormat="1">
      <c r="A146" s="438"/>
      <c r="C146" s="440">
        <v>2006</v>
      </c>
      <c r="D146" s="889">
        <f t="shared" si="4"/>
        <v>0</v>
      </c>
      <c r="E146" s="890">
        <f t="shared" si="5"/>
        <v>0</v>
      </c>
      <c r="F146" s="892">
        <f t="shared" si="6"/>
        <v>0</v>
      </c>
    </row>
    <row r="147" spans="1:6" s="162" customFormat="1">
      <c r="A147" s="438"/>
      <c r="C147" s="440">
        <v>2007</v>
      </c>
      <c r="D147" s="889">
        <f t="shared" si="4"/>
        <v>0</v>
      </c>
      <c r="E147" s="890">
        <f t="shared" si="5"/>
        <v>0</v>
      </c>
      <c r="F147" s="892">
        <f t="shared" si="6"/>
        <v>0</v>
      </c>
    </row>
    <row r="148" spans="1:6" s="162" customFormat="1">
      <c r="A148" s="438"/>
      <c r="C148" s="893">
        <v>2008</v>
      </c>
      <c r="D148" s="889">
        <f t="shared" si="4"/>
        <v>0</v>
      </c>
      <c r="E148" s="890">
        <f t="shared" si="5"/>
        <v>0</v>
      </c>
      <c r="F148" s="892">
        <f t="shared" si="6"/>
        <v>0</v>
      </c>
    </row>
    <row r="149" spans="1:6" s="162" customFormat="1">
      <c r="A149" s="438"/>
      <c r="C149" s="893">
        <v>2009</v>
      </c>
      <c r="D149" s="889">
        <f t="shared" si="4"/>
        <v>0</v>
      </c>
      <c r="E149" s="890">
        <f t="shared" si="5"/>
        <v>0</v>
      </c>
      <c r="F149" s="892">
        <f t="shared" si="6"/>
        <v>0</v>
      </c>
    </row>
    <row r="150" spans="1:6" s="162" customFormat="1">
      <c r="A150" s="438"/>
      <c r="C150" s="893">
        <v>2010</v>
      </c>
      <c r="D150" s="889">
        <f t="shared" si="4"/>
        <v>0</v>
      </c>
      <c r="E150" s="890">
        <f t="shared" si="5"/>
        <v>0</v>
      </c>
      <c r="F150" s="892">
        <f t="shared" si="6"/>
        <v>0</v>
      </c>
    </row>
    <row r="151" spans="1:6" s="162" customFormat="1">
      <c r="A151" s="438"/>
      <c r="C151" s="893">
        <v>2011</v>
      </c>
      <c r="D151" s="889">
        <f t="shared" si="4"/>
        <v>0</v>
      </c>
      <c r="E151" s="890">
        <f t="shared" si="5"/>
        <v>0</v>
      </c>
      <c r="F151" s="892">
        <f t="shared" si="6"/>
        <v>0</v>
      </c>
    </row>
    <row r="152" spans="1:6" s="162" customFormat="1">
      <c r="A152" s="438"/>
      <c r="C152" s="893">
        <v>2012</v>
      </c>
      <c r="D152" s="889">
        <f t="shared" si="4"/>
        <v>62130</v>
      </c>
      <c r="E152" s="890">
        <f t="shared" si="5"/>
        <v>441.12300000000005</v>
      </c>
      <c r="F152" s="892">
        <f t="shared" si="6"/>
        <v>285.798</v>
      </c>
    </row>
    <row r="153" spans="1:6" s="162" customFormat="1">
      <c r="A153" s="438"/>
      <c r="C153" s="893">
        <v>2013</v>
      </c>
      <c r="D153" s="889">
        <f t="shared" si="4"/>
        <v>0</v>
      </c>
      <c r="E153" s="890">
        <f t="shared" si="5"/>
        <v>0</v>
      </c>
      <c r="F153" s="892">
        <f t="shared" si="6"/>
        <v>0</v>
      </c>
    </row>
    <row r="154" spans="1:6" s="162" customFormat="1">
      <c r="A154" s="438"/>
      <c r="C154" s="893">
        <v>2014</v>
      </c>
      <c r="D154" s="889">
        <f t="shared" si="4"/>
        <v>0</v>
      </c>
      <c r="E154" s="890">
        <f t="shared" si="5"/>
        <v>0</v>
      </c>
      <c r="F154" s="892">
        <f t="shared" si="6"/>
        <v>0</v>
      </c>
    </row>
    <row r="155" spans="1:6" s="162" customFormat="1">
      <c r="A155" s="438"/>
      <c r="C155" s="893">
        <v>2015</v>
      </c>
      <c r="D155" s="889">
        <f t="shared" si="4"/>
        <v>0</v>
      </c>
      <c r="E155" s="890">
        <f t="shared" si="5"/>
        <v>0</v>
      </c>
      <c r="F155" s="892">
        <f t="shared" si="6"/>
        <v>0</v>
      </c>
    </row>
    <row r="156" spans="1:6" s="162" customFormat="1">
      <c r="A156" s="438"/>
      <c r="C156" s="893">
        <v>2016</v>
      </c>
      <c r="D156" s="889">
        <f t="shared" si="4"/>
        <v>0</v>
      </c>
      <c r="E156" s="890">
        <f t="shared" si="5"/>
        <v>0</v>
      </c>
      <c r="F156" s="892">
        <f t="shared" si="6"/>
        <v>0</v>
      </c>
    </row>
    <row r="157" spans="1:6" s="162" customFormat="1">
      <c r="A157" s="438"/>
      <c r="C157" s="893">
        <v>2017</v>
      </c>
      <c r="D157" s="889" cm="1">
        <f t="array" ref="D157">SUMPRODUCT(--($D$23:$D$103=$A$133),--($E$23:$E$103=$C157),--($H$23:$H$103))</f>
        <v>14250</v>
      </c>
      <c r="E157" s="890">
        <f t="shared" si="5"/>
        <v>76.95</v>
      </c>
      <c r="F157" s="892">
        <f t="shared" si="6"/>
        <v>25.65</v>
      </c>
    </row>
    <row r="158" spans="1:6" s="162" customFormat="1">
      <c r="A158" s="438"/>
      <c r="C158" s="893">
        <v>2018</v>
      </c>
      <c r="D158" s="894" cm="1">
        <f t="array" ref="D158">SUMPRODUCT(--($D$23:$D$103=$A$133),--($E$23:$E$103=$C158),--($H$23:$H$103))</f>
        <v>0</v>
      </c>
      <c r="E158" s="895">
        <f t="shared" ref="E158:E163" si="7">VLOOKUP(C158,Gas_Pass_Car_CH4_N2O, 2,FALSE)*D158</f>
        <v>0</v>
      </c>
      <c r="F158" s="896">
        <f t="shared" ref="F158:F163" si="8">VLOOKUP(C158,Gas_Pass_Car_CH4_N2O, 3,FALSE)*D158</f>
        <v>0</v>
      </c>
    </row>
    <row r="159" spans="1:6" s="162" customFormat="1">
      <c r="A159" s="438"/>
      <c r="C159" s="719">
        <v>2019</v>
      </c>
      <c r="D159" s="2" cm="1">
        <f t="array" ref="D159">SUMPRODUCT(--($D$23:$D$103=$A$133),--($E$23:$E$103=$C159),--($H$23:$H$103))</f>
        <v>0</v>
      </c>
      <c r="E159" s="1033">
        <f t="shared" si="7"/>
        <v>0</v>
      </c>
      <c r="F159" s="1034">
        <f t="shared" si="8"/>
        <v>0</v>
      </c>
    </row>
    <row r="160" spans="1:6" s="162" customFormat="1">
      <c r="A160" s="438"/>
      <c r="C160" s="719">
        <v>2020</v>
      </c>
      <c r="D160" s="2" cm="1">
        <f t="array" ref="D160">SUMPRODUCT(--($D$23:$D$103=$A$133),--($E$23:$E$103=$C160),--($H$23:$H$103))</f>
        <v>0</v>
      </c>
      <c r="E160" s="1033">
        <f t="shared" si="7"/>
        <v>0</v>
      </c>
      <c r="F160" s="1033">
        <f t="shared" si="8"/>
        <v>0</v>
      </c>
    </row>
    <row r="161" spans="1:6" s="162" customFormat="1">
      <c r="A161" s="438"/>
      <c r="C161" s="719">
        <v>2021</v>
      </c>
      <c r="D161" s="2" cm="1">
        <f t="array" ref="D161">SUMPRODUCT(--($D$23:$D$103=$A$133),--($E$23:$E$103=$C161),--($H$23:$H$103))</f>
        <v>0</v>
      </c>
      <c r="E161" s="1033">
        <f t="shared" si="7"/>
        <v>0</v>
      </c>
      <c r="F161" s="1033">
        <f t="shared" si="8"/>
        <v>0</v>
      </c>
    </row>
    <row r="162" spans="1:6" s="162" customFormat="1">
      <c r="A162" s="438"/>
      <c r="C162" s="719">
        <v>2022</v>
      </c>
      <c r="D162" s="2" cm="1">
        <f t="array" ref="D162">SUMPRODUCT(--($D$23:$D$103=$A$133),--($E$23:$E$103=$C162),--($H$23:$H$103))</f>
        <v>13000</v>
      </c>
      <c r="E162" s="1033">
        <f t="shared" si="7"/>
        <v>65</v>
      </c>
      <c r="F162" s="1033">
        <f t="shared" si="8"/>
        <v>18.2</v>
      </c>
    </row>
    <row r="163" spans="1:6" s="162" customFormat="1" ht="13.5" thickBot="1">
      <c r="A163" s="897"/>
      <c r="B163" s="258"/>
      <c r="C163" s="718">
        <v>2023</v>
      </c>
      <c r="D163" s="1035" cm="1">
        <f t="array" ref="D163">SUMPRODUCT(--($D$23:$D$103=$A$133),--($E$23:$E$103=$C163),--($H$23:$H$103))</f>
        <v>0</v>
      </c>
      <c r="E163" s="1036">
        <f t="shared" si="7"/>
        <v>0</v>
      </c>
      <c r="F163" s="1037">
        <f t="shared" si="8"/>
        <v>0</v>
      </c>
    </row>
    <row r="164" spans="1:6" s="162" customFormat="1">
      <c r="A164" s="162" t="s">
        <v>1126</v>
      </c>
      <c r="B164" s="255"/>
      <c r="C164" s="876" t="s">
        <v>1025</v>
      </c>
      <c r="D164" s="78">
        <f>SUMPRODUCT(--($D$23:$D$103=$A$164),--($E$23:$E$103&lt;=1993),--($H$23:$H$103))</f>
        <v>0</v>
      </c>
      <c r="E164" s="1038">
        <f t="shared" ref="E164:E175" si="9">VLOOKUP(C164,Gas_Lt_Duty_Trucks_CH4_N2O, 2,FALSE)*D164</f>
        <v>0</v>
      </c>
      <c r="F164" s="1039">
        <f t="shared" ref="F164:F175" si="10">VLOOKUP(C164,Gas_Lt_Duty_Trucks_CH4_N2O, 3,FALSE)*D164</f>
        <v>0</v>
      </c>
    </row>
    <row r="165" spans="1:6" s="162" customFormat="1">
      <c r="A165" s="438" t="s">
        <v>189</v>
      </c>
      <c r="C165" s="1040">
        <v>1994</v>
      </c>
      <c r="D165" s="2">
        <f t="shared" ref="D165:D194" si="11">SUMPRODUCT(--($D$23:$D$103=$A$164),--($E$23:$E$103=$C165),--($H$23:$H$103))</f>
        <v>0</v>
      </c>
      <c r="E165" s="1041">
        <f t="shared" si="9"/>
        <v>0</v>
      </c>
      <c r="F165" s="1042">
        <f t="shared" si="10"/>
        <v>0</v>
      </c>
    </row>
    <row r="166" spans="1:6" s="162" customFormat="1">
      <c r="A166" s="438"/>
      <c r="C166" s="439">
        <v>1995</v>
      </c>
      <c r="D166" s="889">
        <f t="shared" si="11"/>
        <v>0</v>
      </c>
      <c r="E166" s="888">
        <f t="shared" si="9"/>
        <v>0</v>
      </c>
      <c r="F166" s="898">
        <f t="shared" si="10"/>
        <v>0</v>
      </c>
    </row>
    <row r="167" spans="1:6" s="162" customFormat="1">
      <c r="A167" s="438"/>
      <c r="C167" s="439">
        <v>1996</v>
      </c>
      <c r="D167" s="889">
        <f t="shared" si="11"/>
        <v>0</v>
      </c>
      <c r="E167" s="888">
        <f t="shared" si="9"/>
        <v>0</v>
      </c>
      <c r="F167" s="898">
        <f t="shared" si="10"/>
        <v>0</v>
      </c>
    </row>
    <row r="168" spans="1:6" s="162" customFormat="1">
      <c r="A168" s="438"/>
      <c r="C168" s="439">
        <v>1997</v>
      </c>
      <c r="D168" s="889">
        <f t="shared" si="11"/>
        <v>0</v>
      </c>
      <c r="E168" s="888">
        <f t="shared" si="9"/>
        <v>0</v>
      </c>
      <c r="F168" s="898">
        <f t="shared" si="10"/>
        <v>0</v>
      </c>
    </row>
    <row r="169" spans="1:6" s="162" customFormat="1">
      <c r="A169" s="438"/>
      <c r="C169" s="439">
        <v>1998</v>
      </c>
      <c r="D169" s="889">
        <f t="shared" si="11"/>
        <v>0</v>
      </c>
      <c r="E169" s="888">
        <f t="shared" si="9"/>
        <v>0</v>
      </c>
      <c r="F169" s="898">
        <f t="shared" si="10"/>
        <v>0</v>
      </c>
    </row>
    <row r="170" spans="1:6" s="162" customFormat="1">
      <c r="A170" s="438"/>
      <c r="C170" s="439">
        <v>1999</v>
      </c>
      <c r="D170" s="889">
        <f t="shared" si="11"/>
        <v>0</v>
      </c>
      <c r="E170" s="888">
        <f t="shared" si="9"/>
        <v>0</v>
      </c>
      <c r="F170" s="898">
        <f t="shared" si="10"/>
        <v>0</v>
      </c>
    </row>
    <row r="171" spans="1:6" s="162" customFormat="1">
      <c r="A171" s="438"/>
      <c r="C171" s="439">
        <v>2000</v>
      </c>
      <c r="D171" s="889">
        <f t="shared" si="11"/>
        <v>0</v>
      </c>
      <c r="E171" s="888">
        <f t="shared" si="9"/>
        <v>0</v>
      </c>
      <c r="F171" s="898">
        <f t="shared" si="10"/>
        <v>0</v>
      </c>
    </row>
    <row r="172" spans="1:6" s="162" customFormat="1">
      <c r="A172" s="438"/>
      <c r="C172" s="439">
        <v>2001</v>
      </c>
      <c r="D172" s="889">
        <f t="shared" si="11"/>
        <v>0</v>
      </c>
      <c r="E172" s="888">
        <f t="shared" si="9"/>
        <v>0</v>
      </c>
      <c r="F172" s="898">
        <f t="shared" si="10"/>
        <v>0</v>
      </c>
    </row>
    <row r="173" spans="1:6" s="162" customFormat="1">
      <c r="A173" s="438"/>
      <c r="C173" s="439">
        <v>2002</v>
      </c>
      <c r="D173" s="889">
        <f t="shared" si="11"/>
        <v>0</v>
      </c>
      <c r="E173" s="888">
        <f t="shared" si="9"/>
        <v>0</v>
      </c>
      <c r="F173" s="898">
        <f t="shared" si="10"/>
        <v>0</v>
      </c>
    </row>
    <row r="174" spans="1:6" s="162" customFormat="1">
      <c r="A174" s="438"/>
      <c r="C174" s="439">
        <v>2003</v>
      </c>
      <c r="D174" s="889">
        <f t="shared" si="11"/>
        <v>0</v>
      </c>
      <c r="E174" s="888">
        <f t="shared" si="9"/>
        <v>0</v>
      </c>
      <c r="F174" s="898">
        <f t="shared" si="10"/>
        <v>0</v>
      </c>
    </row>
    <row r="175" spans="1:6" s="162" customFormat="1">
      <c r="A175" s="438"/>
      <c r="C175" s="439">
        <v>2004</v>
      </c>
      <c r="D175" s="889">
        <f t="shared" si="11"/>
        <v>0</v>
      </c>
      <c r="E175" s="888">
        <f t="shared" si="9"/>
        <v>0</v>
      </c>
      <c r="F175" s="898">
        <f t="shared" si="10"/>
        <v>0</v>
      </c>
    </row>
    <row r="176" spans="1:6" s="162" customFormat="1">
      <c r="A176" s="438"/>
      <c r="C176" s="440">
        <v>2005</v>
      </c>
      <c r="D176" s="889">
        <f t="shared" si="11"/>
        <v>0</v>
      </c>
      <c r="E176" s="888">
        <f t="shared" ref="E176:E186" si="12">VLOOKUP(C176,Gas_Lt_Duty_Trucks_CH4_N2O, 2,FALSE)*D176</f>
        <v>0</v>
      </c>
      <c r="F176" s="898">
        <f t="shared" ref="F176:F186" si="13">VLOOKUP(C176,Gas_Lt_Duty_Trucks_CH4_N2O, 3,FALSE)*D176</f>
        <v>0</v>
      </c>
    </row>
    <row r="177" spans="1:6" s="162" customFormat="1">
      <c r="A177" s="438"/>
      <c r="C177" s="440">
        <v>2006</v>
      </c>
      <c r="D177" s="889">
        <f t="shared" si="11"/>
        <v>0</v>
      </c>
      <c r="E177" s="888">
        <f t="shared" si="12"/>
        <v>0</v>
      </c>
      <c r="F177" s="898">
        <f t="shared" si="13"/>
        <v>0</v>
      </c>
    </row>
    <row r="178" spans="1:6" s="162" customFormat="1">
      <c r="A178" s="438"/>
      <c r="C178" s="440">
        <v>2007</v>
      </c>
      <c r="D178" s="889">
        <f t="shared" si="11"/>
        <v>0</v>
      </c>
      <c r="E178" s="888">
        <f t="shared" si="12"/>
        <v>0</v>
      </c>
      <c r="F178" s="898">
        <f t="shared" si="13"/>
        <v>0</v>
      </c>
    </row>
    <row r="179" spans="1:6" s="162" customFormat="1">
      <c r="A179" s="438"/>
      <c r="C179" s="440">
        <v>2008</v>
      </c>
      <c r="D179" s="889">
        <f t="shared" si="11"/>
        <v>0</v>
      </c>
      <c r="E179" s="888">
        <f t="shared" si="12"/>
        <v>0</v>
      </c>
      <c r="F179" s="898">
        <f t="shared" si="13"/>
        <v>0</v>
      </c>
    </row>
    <row r="180" spans="1:6" s="162" customFormat="1">
      <c r="A180" s="438"/>
      <c r="C180" s="440">
        <v>2009</v>
      </c>
      <c r="D180" s="889">
        <f t="shared" si="11"/>
        <v>0</v>
      </c>
      <c r="E180" s="888">
        <f t="shared" si="12"/>
        <v>0</v>
      </c>
      <c r="F180" s="898">
        <f t="shared" si="13"/>
        <v>0</v>
      </c>
    </row>
    <row r="181" spans="1:6" s="162" customFormat="1">
      <c r="A181" s="438"/>
      <c r="C181" s="440">
        <v>2010</v>
      </c>
      <c r="D181" s="889">
        <f t="shared" si="11"/>
        <v>0</v>
      </c>
      <c r="E181" s="888">
        <f t="shared" si="12"/>
        <v>0</v>
      </c>
      <c r="F181" s="898">
        <f t="shared" si="13"/>
        <v>0</v>
      </c>
    </row>
    <row r="182" spans="1:6" s="162" customFormat="1">
      <c r="A182" s="438"/>
      <c r="C182" s="440">
        <v>2011</v>
      </c>
      <c r="D182" s="889">
        <f t="shared" si="11"/>
        <v>0</v>
      </c>
      <c r="E182" s="888">
        <f t="shared" si="12"/>
        <v>0</v>
      </c>
      <c r="F182" s="898">
        <f t="shared" si="13"/>
        <v>0</v>
      </c>
    </row>
    <row r="183" spans="1:6" s="162" customFormat="1">
      <c r="A183" s="438"/>
      <c r="C183" s="440">
        <v>2012</v>
      </c>
      <c r="D183" s="889">
        <f t="shared" si="11"/>
        <v>0</v>
      </c>
      <c r="E183" s="888">
        <f t="shared" si="12"/>
        <v>0</v>
      </c>
      <c r="F183" s="898">
        <f t="shared" si="13"/>
        <v>0</v>
      </c>
    </row>
    <row r="184" spans="1:6" s="162" customFormat="1">
      <c r="A184" s="438"/>
      <c r="C184" s="440">
        <v>2013</v>
      </c>
      <c r="D184" s="889">
        <f t="shared" si="11"/>
        <v>0</v>
      </c>
      <c r="E184" s="888">
        <f t="shared" si="12"/>
        <v>0</v>
      </c>
      <c r="F184" s="898">
        <f t="shared" si="13"/>
        <v>0</v>
      </c>
    </row>
    <row r="185" spans="1:6" s="162" customFormat="1">
      <c r="A185" s="438"/>
      <c r="C185" s="440">
        <v>2014</v>
      </c>
      <c r="D185" s="889">
        <f t="shared" si="11"/>
        <v>0</v>
      </c>
      <c r="E185" s="888">
        <f t="shared" si="12"/>
        <v>0</v>
      </c>
      <c r="F185" s="898">
        <f t="shared" si="13"/>
        <v>0</v>
      </c>
    </row>
    <row r="186" spans="1:6" s="162" customFormat="1">
      <c r="A186" s="438"/>
      <c r="C186" s="440">
        <v>2015</v>
      </c>
      <c r="D186" s="889">
        <f t="shared" si="11"/>
        <v>0</v>
      </c>
      <c r="E186" s="888">
        <f t="shared" si="12"/>
        <v>0</v>
      </c>
      <c r="F186" s="898">
        <f t="shared" si="13"/>
        <v>0</v>
      </c>
    </row>
    <row r="187" spans="1:6" s="162" customFormat="1">
      <c r="A187" s="438"/>
      <c r="C187" s="440">
        <v>2016</v>
      </c>
      <c r="D187" s="889">
        <f t="shared" si="11"/>
        <v>0</v>
      </c>
      <c r="E187" s="888">
        <f t="shared" ref="E187:E194" si="14">VLOOKUP(C187,Gas_Lt_Duty_Trucks_CH4_N2O, 2,FALSE)*D187</f>
        <v>0</v>
      </c>
      <c r="F187" s="898">
        <f t="shared" ref="F187:F194" si="15">VLOOKUP(C187,Gas_Lt_Duty_Trucks_CH4_N2O, 3,FALSE)*D187</f>
        <v>0</v>
      </c>
    </row>
    <row r="188" spans="1:6" s="162" customFormat="1">
      <c r="A188" s="438"/>
      <c r="C188" s="440">
        <v>2017</v>
      </c>
      <c r="D188" s="889">
        <f t="shared" si="11"/>
        <v>0</v>
      </c>
      <c r="E188" s="888">
        <f t="shared" si="14"/>
        <v>0</v>
      </c>
      <c r="F188" s="898">
        <f t="shared" si="15"/>
        <v>0</v>
      </c>
    </row>
    <row r="189" spans="1:6" s="162" customFormat="1">
      <c r="A189" s="438"/>
      <c r="C189" s="440">
        <v>2018</v>
      </c>
      <c r="D189" s="889">
        <f t="shared" si="11"/>
        <v>0</v>
      </c>
      <c r="E189" s="888">
        <f t="shared" si="14"/>
        <v>0</v>
      </c>
      <c r="F189" s="898">
        <f t="shared" si="15"/>
        <v>0</v>
      </c>
    </row>
    <row r="190" spans="1:6" s="162" customFormat="1">
      <c r="A190" s="438"/>
      <c r="C190" s="1043">
        <v>2019</v>
      </c>
      <c r="D190" s="2">
        <f t="shared" si="11"/>
        <v>0</v>
      </c>
      <c r="E190" s="1041">
        <f>VLOOKUP(C190,Gas_Lt_Duty_Trucks_CH4_N2O, 2,FALSE)*D190</f>
        <v>0</v>
      </c>
      <c r="F190" s="1042">
        <f>VLOOKUP(C190,Gas_Lt_Duty_Trucks_CH4_N2O, 3,FALSE)*D190</f>
        <v>0</v>
      </c>
    </row>
    <row r="191" spans="1:6" s="162" customFormat="1">
      <c r="A191" s="438"/>
      <c r="C191" s="719">
        <v>2020</v>
      </c>
      <c r="D191" s="2">
        <f t="shared" si="11"/>
        <v>0</v>
      </c>
      <c r="E191" s="1041">
        <f>VLOOKUP(C191,Gas_Lt_Duty_Trucks_CH4_N2O, 2,FALSE)*D191</f>
        <v>0</v>
      </c>
      <c r="F191" s="1042">
        <f>VLOOKUP(C191,Gas_Lt_Duty_Trucks_CH4_N2O, 3,FALSE)*D191</f>
        <v>0</v>
      </c>
    </row>
    <row r="192" spans="1:6" s="162" customFormat="1">
      <c r="A192" s="438"/>
      <c r="C192" s="719">
        <v>2021</v>
      </c>
      <c r="D192" s="2">
        <f t="shared" si="11"/>
        <v>0</v>
      </c>
      <c r="E192" s="1041">
        <f>VLOOKUP(C192,Gas_Lt_Duty_Trucks_CH4_N2O, 2,FALSE)*D192</f>
        <v>0</v>
      </c>
      <c r="F192" s="1042">
        <f>VLOOKUP(C192,Gas_Lt_Duty_Trucks_CH4_N2O, 3,FALSE)*D192</f>
        <v>0</v>
      </c>
    </row>
    <row r="193" spans="1:6" s="162" customFormat="1">
      <c r="A193" s="438"/>
      <c r="C193" s="719">
        <v>2022</v>
      </c>
      <c r="D193" s="2">
        <f t="shared" si="11"/>
        <v>0</v>
      </c>
      <c r="E193" s="1041">
        <f>VLOOKUP(C193,Gas_Lt_Duty_Trucks_CH4_N2O, 2,FALSE)*D193</f>
        <v>0</v>
      </c>
      <c r="F193" s="1042">
        <f>VLOOKUP(C193,Gas_Lt_Duty_Trucks_CH4_N2O, 3,FALSE)*D193</f>
        <v>0</v>
      </c>
    </row>
    <row r="194" spans="1:6" s="162" customFormat="1" ht="13.5" thickBot="1">
      <c r="A194" s="897"/>
      <c r="C194" s="718">
        <v>2023</v>
      </c>
      <c r="D194" s="2">
        <f t="shared" si="11"/>
        <v>0</v>
      </c>
      <c r="E194" s="1041">
        <f t="shared" si="14"/>
        <v>0</v>
      </c>
      <c r="F194" s="1042">
        <f t="shared" si="15"/>
        <v>0</v>
      </c>
    </row>
    <row r="195" spans="1:6" s="162" customFormat="1">
      <c r="A195" s="443" t="s">
        <v>1127</v>
      </c>
      <c r="B195" s="255"/>
      <c r="C195" s="876" t="s">
        <v>1026</v>
      </c>
      <c r="D195" s="78">
        <f>SUMPRODUCT(--($D$23:$D$103=$A$195),--($E$23:$E$103&lt;=1986),--($H$23:$H$103))</f>
        <v>0</v>
      </c>
      <c r="E195" s="1038">
        <f>VLOOKUP(C195,Gas_Heavy_Duty_CH4_N2O, 2,FALSE)*D195</f>
        <v>0</v>
      </c>
      <c r="F195" s="1039">
        <f t="shared" ref="F195:F207" si="16">VLOOKUP(C195,Gas_Heavy_Duty_CH4_N2O, 3,FALSE)*D195</f>
        <v>0</v>
      </c>
    </row>
    <row r="196" spans="1:6" s="162" customFormat="1">
      <c r="A196" s="438"/>
      <c r="C196" s="1040">
        <v>1987</v>
      </c>
      <c r="D196" s="2">
        <f>SUMPRODUCT(--($D$23:$D$103=$A$195),--($E$23:$E$103=$C196),--($H$23:$H$103))</f>
        <v>0</v>
      </c>
      <c r="E196" s="1033">
        <f t="shared" ref="E196:E207" si="17">VLOOKUP(C196,Gas_Heavy_Duty_CH4_N2O, 2,FALSE)*D196</f>
        <v>0</v>
      </c>
      <c r="F196" s="1034">
        <f t="shared" si="16"/>
        <v>0</v>
      </c>
    </row>
    <row r="197" spans="1:6" s="162" customFormat="1">
      <c r="A197" s="438"/>
      <c r="C197" s="1040" t="s">
        <v>10</v>
      </c>
      <c r="D197" s="2">
        <f>SUMPRODUCT(--($D$23:$D$103=$A$195),--($E$23:$E$103&gt;=1988),--($E$23:$E$103&lt;=1989),--($H$23:$H$103))</f>
        <v>0</v>
      </c>
      <c r="E197" s="1033">
        <f>VLOOKUP(C197,Gas_Heavy_Duty_CH4_N2O, 2,FALSE)*D197</f>
        <v>0</v>
      </c>
      <c r="F197" s="1034">
        <f t="shared" si="16"/>
        <v>0</v>
      </c>
    </row>
    <row r="198" spans="1:6" s="162" customFormat="1">
      <c r="A198" s="438"/>
      <c r="C198" s="439" t="s">
        <v>11</v>
      </c>
      <c r="D198" s="889">
        <f>SUMPRODUCT(--($D$23:$D$103=$A$195),--($E$23:$E$103&gt;=1990),--($E$23:$E$103&lt;=1995),--($H$23:$H$103))</f>
        <v>0</v>
      </c>
      <c r="E198" s="890">
        <f t="shared" si="17"/>
        <v>0</v>
      </c>
      <c r="F198" s="892">
        <f t="shared" si="16"/>
        <v>0</v>
      </c>
    </row>
    <row r="199" spans="1:6" s="162" customFormat="1">
      <c r="A199" s="438"/>
      <c r="C199" s="439">
        <v>1996</v>
      </c>
      <c r="D199" s="889">
        <f t="shared" ref="D199:D225" si="18">SUMPRODUCT(--($D$23:$D$103=$A$195),--($E$23:$E$103=$C199),--($H$23:$H$103))</f>
        <v>0</v>
      </c>
      <c r="E199" s="890">
        <f t="shared" si="17"/>
        <v>0</v>
      </c>
      <c r="F199" s="892">
        <f t="shared" si="16"/>
        <v>0</v>
      </c>
    </row>
    <row r="200" spans="1:6" s="162" customFormat="1">
      <c r="A200" s="438"/>
      <c r="C200" s="439">
        <v>1997</v>
      </c>
      <c r="D200" s="889">
        <f t="shared" si="18"/>
        <v>0</v>
      </c>
      <c r="E200" s="890">
        <f t="shared" si="17"/>
        <v>0</v>
      </c>
      <c r="F200" s="892">
        <f t="shared" si="16"/>
        <v>0</v>
      </c>
    </row>
    <row r="201" spans="1:6" s="162" customFormat="1">
      <c r="A201" s="438"/>
      <c r="C201" s="439">
        <v>1998</v>
      </c>
      <c r="D201" s="889">
        <f t="shared" si="18"/>
        <v>0</v>
      </c>
      <c r="E201" s="890">
        <f t="shared" si="17"/>
        <v>0</v>
      </c>
      <c r="F201" s="892">
        <f t="shared" si="16"/>
        <v>0</v>
      </c>
    </row>
    <row r="202" spans="1:6" s="162" customFormat="1">
      <c r="A202" s="438"/>
      <c r="C202" s="439">
        <v>1999</v>
      </c>
      <c r="D202" s="889">
        <f t="shared" si="18"/>
        <v>0</v>
      </c>
      <c r="E202" s="890">
        <f t="shared" si="17"/>
        <v>0</v>
      </c>
      <c r="F202" s="892">
        <f t="shared" si="16"/>
        <v>0</v>
      </c>
    </row>
    <row r="203" spans="1:6" s="162" customFormat="1">
      <c r="A203" s="438"/>
      <c r="C203" s="439">
        <v>2000</v>
      </c>
      <c r="D203" s="889">
        <f t="shared" si="18"/>
        <v>0</v>
      </c>
      <c r="E203" s="890">
        <f t="shared" si="17"/>
        <v>0</v>
      </c>
      <c r="F203" s="892">
        <f t="shared" si="16"/>
        <v>0</v>
      </c>
    </row>
    <row r="204" spans="1:6" s="162" customFormat="1">
      <c r="A204" s="438"/>
      <c r="C204" s="439">
        <v>2001</v>
      </c>
      <c r="D204" s="889">
        <f t="shared" si="18"/>
        <v>0</v>
      </c>
      <c r="E204" s="890">
        <f t="shared" si="17"/>
        <v>0</v>
      </c>
      <c r="F204" s="892">
        <f t="shared" si="16"/>
        <v>0</v>
      </c>
    </row>
    <row r="205" spans="1:6" s="162" customFormat="1">
      <c r="A205" s="438"/>
      <c r="C205" s="439">
        <v>2002</v>
      </c>
      <c r="D205" s="889">
        <f t="shared" si="18"/>
        <v>0</v>
      </c>
      <c r="E205" s="890">
        <f t="shared" si="17"/>
        <v>0</v>
      </c>
      <c r="F205" s="892">
        <f t="shared" si="16"/>
        <v>0</v>
      </c>
    </row>
    <row r="206" spans="1:6" s="162" customFormat="1">
      <c r="A206" s="438"/>
      <c r="C206" s="439">
        <v>2003</v>
      </c>
      <c r="D206" s="889">
        <f t="shared" si="18"/>
        <v>0</v>
      </c>
      <c r="E206" s="890">
        <f t="shared" si="17"/>
        <v>0</v>
      </c>
      <c r="F206" s="892">
        <f t="shared" si="16"/>
        <v>0</v>
      </c>
    </row>
    <row r="207" spans="1:6" s="162" customFormat="1">
      <c r="A207" s="438"/>
      <c r="C207" s="439">
        <v>2004</v>
      </c>
      <c r="D207" s="889">
        <f t="shared" si="18"/>
        <v>0</v>
      </c>
      <c r="E207" s="890">
        <f t="shared" si="17"/>
        <v>0</v>
      </c>
      <c r="F207" s="892">
        <f t="shared" si="16"/>
        <v>0</v>
      </c>
    </row>
    <row r="208" spans="1:6" s="162" customFormat="1">
      <c r="A208" s="438"/>
      <c r="C208" s="440">
        <v>2005</v>
      </c>
      <c r="D208" s="889">
        <f t="shared" si="18"/>
        <v>0</v>
      </c>
      <c r="E208" s="890">
        <f t="shared" ref="E208:E220" si="19">VLOOKUP(C208,Gas_Heavy_Duty_CH4_N2O, 2,FALSE)*D208</f>
        <v>0</v>
      </c>
      <c r="F208" s="892">
        <f t="shared" ref="F208:F220" si="20">VLOOKUP(C208,Gas_Heavy_Duty_CH4_N2O, 3,FALSE)*D208</f>
        <v>0</v>
      </c>
    </row>
    <row r="209" spans="1:6" s="162" customFormat="1">
      <c r="A209" s="438"/>
      <c r="C209" s="440">
        <v>2006</v>
      </c>
      <c r="D209" s="889">
        <f t="shared" si="18"/>
        <v>0</v>
      </c>
      <c r="E209" s="890">
        <f t="shared" si="19"/>
        <v>0</v>
      </c>
      <c r="F209" s="892">
        <f t="shared" si="20"/>
        <v>0</v>
      </c>
    </row>
    <row r="210" spans="1:6" s="162" customFormat="1">
      <c r="A210" s="438"/>
      <c r="C210" s="440">
        <v>2007</v>
      </c>
      <c r="D210" s="889">
        <f t="shared" si="18"/>
        <v>0</v>
      </c>
      <c r="E210" s="890">
        <f t="shared" si="19"/>
        <v>0</v>
      </c>
      <c r="F210" s="892">
        <f t="shared" si="20"/>
        <v>0</v>
      </c>
    </row>
    <row r="211" spans="1:6" s="162" customFormat="1">
      <c r="A211" s="438"/>
      <c r="C211" s="659">
        <v>2008</v>
      </c>
      <c r="D211" s="889">
        <f t="shared" si="18"/>
        <v>0</v>
      </c>
      <c r="E211" s="890">
        <f t="shared" si="19"/>
        <v>0</v>
      </c>
      <c r="F211" s="892">
        <f t="shared" si="20"/>
        <v>0</v>
      </c>
    </row>
    <row r="212" spans="1:6" s="162" customFormat="1">
      <c r="A212" s="438"/>
      <c r="C212" s="659">
        <v>2009</v>
      </c>
      <c r="D212" s="889">
        <f t="shared" si="18"/>
        <v>0</v>
      </c>
      <c r="E212" s="890">
        <f t="shared" si="19"/>
        <v>0</v>
      </c>
      <c r="F212" s="892">
        <f t="shared" si="20"/>
        <v>0</v>
      </c>
    </row>
    <row r="213" spans="1:6" s="162" customFormat="1">
      <c r="A213" s="438"/>
      <c r="C213" s="659">
        <v>2010</v>
      </c>
      <c r="D213" s="889">
        <f t="shared" si="18"/>
        <v>0</v>
      </c>
      <c r="E213" s="890">
        <f t="shared" si="19"/>
        <v>0</v>
      </c>
      <c r="F213" s="892">
        <f t="shared" si="20"/>
        <v>0</v>
      </c>
    </row>
    <row r="214" spans="1:6" s="162" customFormat="1">
      <c r="A214" s="438"/>
      <c r="C214" s="659">
        <v>2011</v>
      </c>
      <c r="D214" s="889">
        <f t="shared" si="18"/>
        <v>0</v>
      </c>
      <c r="E214" s="890">
        <f t="shared" si="19"/>
        <v>0</v>
      </c>
      <c r="F214" s="892">
        <f t="shared" si="20"/>
        <v>0</v>
      </c>
    </row>
    <row r="215" spans="1:6" s="162" customFormat="1">
      <c r="A215" s="438"/>
      <c r="C215" s="659">
        <v>2012</v>
      </c>
      <c r="D215" s="889">
        <f t="shared" si="18"/>
        <v>0</v>
      </c>
      <c r="E215" s="890">
        <f t="shared" si="19"/>
        <v>0</v>
      </c>
      <c r="F215" s="892">
        <f t="shared" si="20"/>
        <v>0</v>
      </c>
    </row>
    <row r="216" spans="1:6" s="162" customFormat="1">
      <c r="A216" s="438"/>
      <c r="C216" s="659">
        <v>2013</v>
      </c>
      <c r="D216" s="889">
        <f t="shared" si="18"/>
        <v>0</v>
      </c>
      <c r="E216" s="890">
        <f t="shared" si="19"/>
        <v>0</v>
      </c>
      <c r="F216" s="892">
        <f t="shared" si="20"/>
        <v>0</v>
      </c>
    </row>
    <row r="217" spans="1:6" s="162" customFormat="1">
      <c r="A217" s="438"/>
      <c r="C217" s="659">
        <v>2014</v>
      </c>
      <c r="D217" s="889">
        <f t="shared" si="18"/>
        <v>0</v>
      </c>
      <c r="E217" s="890">
        <f t="shared" si="19"/>
        <v>0</v>
      </c>
      <c r="F217" s="892">
        <f t="shared" si="20"/>
        <v>0</v>
      </c>
    </row>
    <row r="218" spans="1:6" s="162" customFormat="1">
      <c r="A218" s="438"/>
      <c r="C218" s="659">
        <v>2015</v>
      </c>
      <c r="D218" s="889">
        <f t="shared" si="18"/>
        <v>0</v>
      </c>
      <c r="E218" s="890">
        <f t="shared" si="19"/>
        <v>0</v>
      </c>
      <c r="F218" s="892">
        <f t="shared" si="20"/>
        <v>0</v>
      </c>
    </row>
    <row r="219" spans="1:6" s="162" customFormat="1">
      <c r="A219" s="438"/>
      <c r="C219" s="659">
        <v>2016</v>
      </c>
      <c r="D219" s="889">
        <f t="shared" si="18"/>
        <v>0</v>
      </c>
      <c r="E219" s="890">
        <f t="shared" si="19"/>
        <v>0</v>
      </c>
      <c r="F219" s="892">
        <f t="shared" si="20"/>
        <v>0</v>
      </c>
    </row>
    <row r="220" spans="1:6" s="162" customFormat="1">
      <c r="A220" s="438"/>
      <c r="C220" s="659">
        <v>2017</v>
      </c>
      <c r="D220" s="889">
        <f t="shared" si="18"/>
        <v>0</v>
      </c>
      <c r="E220" s="890">
        <f t="shared" si="19"/>
        <v>0</v>
      </c>
      <c r="F220" s="892">
        <f t="shared" si="20"/>
        <v>0</v>
      </c>
    </row>
    <row r="221" spans="1:6" s="162" customFormat="1">
      <c r="A221" s="438"/>
      <c r="C221" s="659">
        <v>2018</v>
      </c>
      <c r="D221" s="894">
        <f t="shared" si="18"/>
        <v>0</v>
      </c>
      <c r="E221" s="895">
        <f t="shared" ref="E221:E226" si="21">VLOOKUP(C221,Gas_Heavy_Duty_CH4_N2O, 2,FALSE)*D221</f>
        <v>0</v>
      </c>
      <c r="F221" s="896">
        <f t="shared" ref="F221:F226" si="22">VLOOKUP(C221,Gas_Heavy_Duty_CH4_N2O, 3,FALSE)*D221</f>
        <v>0</v>
      </c>
    </row>
    <row r="222" spans="1:6" s="162" customFormat="1">
      <c r="A222" s="438"/>
      <c r="C222" s="659">
        <v>2019</v>
      </c>
      <c r="D222" s="894">
        <f t="shared" si="18"/>
        <v>0</v>
      </c>
      <c r="E222" s="895">
        <f t="shared" si="21"/>
        <v>0</v>
      </c>
      <c r="F222" s="896">
        <f t="shared" si="22"/>
        <v>0</v>
      </c>
    </row>
    <row r="223" spans="1:6" s="162" customFormat="1">
      <c r="A223" s="438"/>
      <c r="C223" s="719">
        <v>2020</v>
      </c>
      <c r="D223" s="128">
        <f t="shared" si="18"/>
        <v>0</v>
      </c>
      <c r="E223" s="1044">
        <f t="shared" si="21"/>
        <v>0</v>
      </c>
      <c r="F223" s="1045">
        <f t="shared" si="22"/>
        <v>0</v>
      </c>
    </row>
    <row r="224" spans="1:6" s="162" customFormat="1">
      <c r="A224" s="438"/>
      <c r="C224" s="719">
        <v>2021</v>
      </c>
      <c r="D224" s="128">
        <f t="shared" si="18"/>
        <v>0</v>
      </c>
      <c r="E224" s="1044">
        <f t="shared" si="21"/>
        <v>0</v>
      </c>
      <c r="F224" s="1045">
        <f t="shared" si="22"/>
        <v>0</v>
      </c>
    </row>
    <row r="225" spans="1:30" s="162" customFormat="1">
      <c r="A225" s="438"/>
      <c r="C225" s="719">
        <v>2022</v>
      </c>
      <c r="D225" s="128">
        <f t="shared" si="18"/>
        <v>0</v>
      </c>
      <c r="E225" s="1044">
        <f t="shared" si="21"/>
        <v>0</v>
      </c>
      <c r="F225" s="1045">
        <f t="shared" si="22"/>
        <v>0</v>
      </c>
    </row>
    <row r="226" spans="1:30" s="162" customFormat="1" ht="13.5" thickBot="1">
      <c r="A226" s="897"/>
      <c r="B226" s="258"/>
      <c r="C226" s="1046">
        <v>2023</v>
      </c>
      <c r="D226" s="79" cm="1">
        <f t="array" ref="D226">SUMPRODUCT(--($D$23:$D$103=$A$195),--($E$23:$E$103=$C226),--($H$23:$H$103))</f>
        <v>0</v>
      </c>
      <c r="E226" s="1047">
        <f t="shared" si="21"/>
        <v>0</v>
      </c>
      <c r="F226" s="1048">
        <f t="shared" si="22"/>
        <v>0</v>
      </c>
    </row>
    <row r="227" spans="1:30" s="162" customFormat="1">
      <c r="A227" s="162" t="s">
        <v>1128</v>
      </c>
      <c r="C227" s="1049" t="s">
        <v>744</v>
      </c>
      <c r="D227" s="401">
        <f>SUMPRODUCT(--($D$23:$D$103=$A$227),--($E$23:$E$103&lt;=1995),--($H$23:$H$103))</f>
        <v>0</v>
      </c>
      <c r="E227" s="1041">
        <f>VLOOKUP(C227,Gas_Motorcycle_CH4_N2O, 2,FALSE)*D227</f>
        <v>0</v>
      </c>
      <c r="F227" s="1042">
        <f>VLOOKUP(C227,Gas_Motorcycle_CH4_N2O, 3,FALSE)*D227</f>
        <v>0</v>
      </c>
    </row>
    <row r="228" spans="1:30" s="162" customFormat="1">
      <c r="C228" s="1050" t="s">
        <v>1296</v>
      </c>
      <c r="D228" s="401">
        <f>SUMPRODUCT(--($D$23:$D$103=$A$227),--($E$23:$E$103&lt;=1995),--($H$23:$H$103))</f>
        <v>0</v>
      </c>
      <c r="E228" s="1041">
        <f>VLOOKUP(C228,Gas_Motorcycle_CH4_N2O, 2,FALSE)*D228</f>
        <v>0</v>
      </c>
      <c r="F228" s="1042">
        <f>VLOOKUP(C228,Gas_Motorcycle_CH4_N2O, 3,FALSE)*D228</f>
        <v>0</v>
      </c>
    </row>
    <row r="229" spans="1:30" s="162" customFormat="1" ht="13.5" thickBot="1">
      <c r="A229" s="897"/>
      <c r="B229" s="258"/>
      <c r="C229" s="1051" t="s">
        <v>1339</v>
      </c>
      <c r="D229" s="79">
        <f>SUMPRODUCT(--($D$23:$D$103=$A$227),--($E$23:$E$103&gt;=1996),--($H$23:$H$103))</f>
        <v>0</v>
      </c>
      <c r="E229" s="1047">
        <f>VLOOKUP(C229,Gas_Motorcycle_CH4_N2O, 2,FALSE)*D229</f>
        <v>0</v>
      </c>
      <c r="F229" s="1048">
        <f>VLOOKUP(C229,Gas_Motorcycle_CH4_N2O, 3,FALSE)*D229</f>
        <v>0</v>
      </c>
    </row>
    <row r="230" spans="1:30">
      <c r="A230" s="4"/>
      <c r="B230" s="4"/>
      <c r="C230" s="4"/>
      <c r="D230" s="62"/>
      <c r="E230" s="63"/>
      <c r="F230" s="64"/>
      <c r="G230" s="371"/>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row>
    <row r="231" spans="1:30" ht="15" thickBot="1">
      <c r="A231" s="7" t="s">
        <v>1253</v>
      </c>
      <c r="B231" s="7"/>
      <c r="C231" s="7"/>
      <c r="D231" s="4"/>
      <c r="E231" s="4"/>
      <c r="F231" s="4"/>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row>
    <row r="232" spans="1:30" ht="15" thickBot="1">
      <c r="A232" s="429" t="s">
        <v>135</v>
      </c>
      <c r="B232" s="663" t="s">
        <v>161</v>
      </c>
      <c r="C232" s="421" t="s">
        <v>252</v>
      </c>
      <c r="D232" s="189" t="s">
        <v>253</v>
      </c>
      <c r="E232" s="189" t="s">
        <v>254</v>
      </c>
      <c r="F232" s="190" t="s">
        <v>255</v>
      </c>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row>
    <row r="233" spans="1:30">
      <c r="A233" s="1212" t="s">
        <v>1129</v>
      </c>
      <c r="B233" s="1214" t="s">
        <v>1027</v>
      </c>
      <c r="C233" s="647" t="s">
        <v>12</v>
      </c>
      <c r="D233" s="52">
        <f>SUMPRODUCT(--($D$23:$D$103=$A$233),--($E$23:$E$103&lt;=1982),--($H$23:$H$103))</f>
        <v>0</v>
      </c>
      <c r="E233" s="899">
        <f>VLOOKUP($C233,Diesel_pass_CH4_N2O, 2,FALSE)*$D233</f>
        <v>0</v>
      </c>
      <c r="F233" s="853">
        <f>VLOOKUP($C233,Diesel_pass_CH4_N2O, 3,FALSE)*$D233</f>
        <v>0</v>
      </c>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row>
    <row r="234" spans="1:30">
      <c r="A234" s="1218"/>
      <c r="B234" s="1219"/>
      <c r="C234" s="648" t="s">
        <v>1269</v>
      </c>
      <c r="D234" s="191" cm="1">
        <f t="array" ref="D234">SUMPRODUCT(--($D$23:$D$103=$A$233),--($E$23:$E$103&gt;=1983),--($E$23:$E$103&lt;=2006),--($H$23:$H$103))</f>
        <v>0</v>
      </c>
      <c r="E234" s="854">
        <f>VLOOKUP($C234,Diesel_pass_CH4_N2O, 2,FALSE)*$D234</f>
        <v>0</v>
      </c>
      <c r="F234" s="855">
        <f>VLOOKUP($C234,Diesel_pass_CH4_N2O, 3,FALSE)*$D234</f>
        <v>0</v>
      </c>
      <c r="G234" s="162"/>
      <c r="H234" s="162"/>
      <c r="I234" s="226"/>
      <c r="J234" s="162"/>
      <c r="K234" s="162"/>
      <c r="L234" s="162"/>
      <c r="M234" s="162"/>
      <c r="N234" s="162"/>
      <c r="O234" s="162"/>
      <c r="P234" s="162"/>
      <c r="Q234" s="162"/>
      <c r="R234" s="162"/>
      <c r="S234" s="162"/>
      <c r="T234" s="162"/>
      <c r="U234" s="162"/>
      <c r="V234" s="162"/>
      <c r="W234" s="162"/>
      <c r="X234" s="162"/>
      <c r="Y234" s="162"/>
      <c r="Z234" s="162"/>
      <c r="AA234" s="162"/>
      <c r="AB234" s="162"/>
      <c r="AC234" s="162"/>
      <c r="AD234" s="162"/>
    </row>
    <row r="235" spans="1:30" ht="13.5" thickBot="1">
      <c r="A235" s="1218"/>
      <c r="B235" s="1219"/>
      <c r="C235" s="719" t="s">
        <v>1340</v>
      </c>
      <c r="D235" s="685">
        <f>SUMPRODUCT(--($D$23:$D$103=$A$233),--($E$23:$E$103&gt;=2007),--($H$23:$H$103))</f>
        <v>0</v>
      </c>
      <c r="E235" s="1052">
        <f>VLOOKUP($C235,Diesel_pass_CH4_N2O, 2,FALSE)*$D235</f>
        <v>0</v>
      </c>
      <c r="F235" s="1053">
        <f>VLOOKUP($C235,Diesel_pass_CH4_N2O, 3,FALSE)*$D235</f>
        <v>0</v>
      </c>
      <c r="G235" s="162"/>
      <c r="H235" s="162"/>
      <c r="I235" s="226"/>
      <c r="J235" s="162"/>
      <c r="K235" s="162"/>
      <c r="L235" s="162"/>
      <c r="M235" s="162"/>
      <c r="N235" s="162"/>
      <c r="O235" s="162"/>
      <c r="P235" s="162"/>
      <c r="Q235" s="162"/>
      <c r="R235" s="162"/>
      <c r="S235" s="162"/>
      <c r="T235" s="162"/>
      <c r="U235" s="162"/>
      <c r="V235" s="162"/>
      <c r="W235" s="162"/>
      <c r="X235" s="162"/>
      <c r="Y235" s="162"/>
      <c r="Z235" s="162"/>
      <c r="AA235" s="162"/>
      <c r="AB235" s="162"/>
      <c r="AC235" s="162"/>
      <c r="AD235" s="162"/>
    </row>
    <row r="236" spans="1:30">
      <c r="A236" s="1212" t="s">
        <v>1130</v>
      </c>
      <c r="B236" s="1214" t="s">
        <v>1027</v>
      </c>
      <c r="C236" s="876" t="s">
        <v>12</v>
      </c>
      <c r="D236" s="684">
        <f>SUMPRODUCT(--($D$23:$D$103=$A$236),--($E$23:$E$103&lt;=1982),--($H$23:$H$103))</f>
        <v>0</v>
      </c>
      <c r="E236" s="1054">
        <f>VLOOKUP($C236,Diesel_Lt_Trucks_CH4_N2O, 2,FALSE)*$D236</f>
        <v>0</v>
      </c>
      <c r="F236" s="1055">
        <f>VLOOKUP($C236,Diesel_Lt_Trucks_CH4_N2O, 3,FALSE)*$D236</f>
        <v>0</v>
      </c>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row>
    <row r="237" spans="1:30">
      <c r="A237" s="1218"/>
      <c r="B237" s="1219"/>
      <c r="C237" s="719" t="s">
        <v>1269</v>
      </c>
      <c r="D237" s="685" cm="1">
        <f t="array" ref="D237">SUMPRODUCT(--($D$23:$D$103=$A$236),--($E$23:$E$103&gt;=1983),--($E$23:$E$103&lt;=2006),--($H$23:$H$103))</f>
        <v>0</v>
      </c>
      <c r="E237" s="1056">
        <f>VLOOKUP($C237,Diesel_Lt_Trucks_CH4_N2O, 2,FALSE)*$D237</f>
        <v>0</v>
      </c>
      <c r="F237" s="1057">
        <f>VLOOKUP($C237,Diesel_Lt_Trucks_CH4_N2O, 3,FALSE)*$D237</f>
        <v>0</v>
      </c>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row>
    <row r="238" spans="1:30" ht="13.5" thickBot="1">
      <c r="A238" s="1213"/>
      <c r="B238" s="1215"/>
      <c r="C238" s="1058" t="s">
        <v>1340</v>
      </c>
      <c r="D238" s="1059">
        <f>SUMPRODUCT(--($D$23:$D$103=$A$236),--($E$23:$E$103&gt;=2007),--($H$23:$H$103))</f>
        <v>0</v>
      </c>
      <c r="E238" s="1060">
        <f>VLOOKUP($C238,Diesel_Lt_Trucks_CH4_N2O, 2,FALSE)*$D238</f>
        <v>0</v>
      </c>
      <c r="F238" s="1061">
        <f>VLOOKUP($C238,Diesel_Lt_Trucks_CH4_N2O, 3,FALSE)*$D238</f>
        <v>0</v>
      </c>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row>
    <row r="239" spans="1:30">
      <c r="A239" s="1212" t="s">
        <v>1131</v>
      </c>
      <c r="B239" s="1214" t="s">
        <v>1027</v>
      </c>
      <c r="C239" s="876" t="s">
        <v>1030</v>
      </c>
      <c r="D239" s="684">
        <f>SUMPRODUCT(--($D$23:$D$103=$A$239),--($E$23:$E$103&lt;=2006),--($H$23:$H$103))</f>
        <v>0</v>
      </c>
      <c r="E239" s="1054">
        <f>VLOOKUP($C239,Diesel_Heavy_Trucks_CH4_N2O, 2,FALSE)*$D239</f>
        <v>0</v>
      </c>
      <c r="F239" s="1055">
        <f>VLOOKUP($C239,Diesel_Heavy_Trucks_CH4_N2O, 3,FALSE)*$D239</f>
        <v>0</v>
      </c>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row>
    <row r="240" spans="1:30" ht="13.5" thickBot="1">
      <c r="A240" s="1213"/>
      <c r="B240" s="1215"/>
      <c r="C240" s="1058" t="s">
        <v>1340</v>
      </c>
      <c r="D240" s="1059">
        <f>SUMPRODUCT(--($D$23:$D$103=$A$239),--($E$23:$E$103&gt;=2007),--($H$23:$H$103))</f>
        <v>0</v>
      </c>
      <c r="E240" s="1060">
        <f>VLOOKUP($C240,Diesel_Heavy_Trucks_CH4_N2O, 2,FALSE)*$D240</f>
        <v>0</v>
      </c>
      <c r="F240" s="1061">
        <f>VLOOKUP($C240,Diesel_Heavy_Trucks_CH4_N2O, 3,FALSE)*$D240</f>
        <v>0</v>
      </c>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row>
    <row r="241" spans="1:30">
      <c r="A241" s="1200" t="s">
        <v>1031</v>
      </c>
      <c r="B241" s="679" t="s">
        <v>1032</v>
      </c>
      <c r="C241" s="680"/>
      <c r="D241" s="684">
        <f>SUMIF($D$23:$D$103,$A$241&amp;" - "&amp;B241,$H$23:$H$103)</f>
        <v>0</v>
      </c>
      <c r="E241" s="108">
        <f>'Emission Factors'!D165*D241</f>
        <v>0</v>
      </c>
      <c r="F241" s="107">
        <f>'Emission Factors'!E165*D241</f>
        <v>0</v>
      </c>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row>
    <row r="242" spans="1:30">
      <c r="A242" s="1201"/>
      <c r="B242" s="677" t="s">
        <v>183</v>
      </c>
      <c r="C242" s="649"/>
      <c r="D242" s="685">
        <f>SUMIF($D$23:$D$103,$A$241&amp;" - "&amp;B242,$H$23:$H$103)</f>
        <v>0</v>
      </c>
      <c r="E242" s="147">
        <f>'Emission Factors'!D166*D242</f>
        <v>0</v>
      </c>
      <c r="F242" s="144">
        <f>'Emission Factors'!E166*D242</f>
        <v>0</v>
      </c>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row>
    <row r="243" spans="1:30">
      <c r="A243" s="1201"/>
      <c r="B243" s="677" t="s">
        <v>1033</v>
      </c>
      <c r="C243" s="649"/>
      <c r="D243" s="685">
        <f>SUMIF($D$23:$D$103,$A$241&amp;" - "&amp;B243,$H$23:$H$103)</f>
        <v>0</v>
      </c>
      <c r="E243" s="147">
        <f>'Emission Factors'!D167*D243</f>
        <v>0</v>
      </c>
      <c r="F243" s="144">
        <f>'Emission Factors'!E167*D243</f>
        <v>0</v>
      </c>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row>
    <row r="244" spans="1:30">
      <c r="A244" s="1201"/>
      <c r="B244" s="677" t="s">
        <v>1034</v>
      </c>
      <c r="C244" s="649"/>
      <c r="D244" s="685">
        <f>SUMIF($D$23:$D$103,$A$241&amp;" - "&amp;B244,$H$23:$H$103)</f>
        <v>0</v>
      </c>
      <c r="E244" s="147">
        <f>'Emission Factors'!D168*D244</f>
        <v>0</v>
      </c>
      <c r="F244" s="144">
        <f>'Emission Factors'!E168*D244</f>
        <v>0</v>
      </c>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row>
    <row r="245" spans="1:30" ht="13.5" thickBot="1">
      <c r="A245" s="1202"/>
      <c r="B245" s="681" t="s">
        <v>1035</v>
      </c>
      <c r="C245" s="682"/>
      <c r="D245" s="703">
        <f>SUMIF($D$23:$D$103,$A$241&amp;" - "&amp;B245,$H$23:$H$103)</f>
        <v>0</v>
      </c>
      <c r="E245" s="676">
        <f>'Emission Factors'!D169*D245</f>
        <v>0</v>
      </c>
      <c r="F245" s="683">
        <f>'Emission Factors'!E169*D245</f>
        <v>0</v>
      </c>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row>
    <row r="246" spans="1:30">
      <c r="A246" s="1200" t="s">
        <v>1028</v>
      </c>
      <c r="B246" s="679" t="s">
        <v>183</v>
      </c>
      <c r="C246" s="680"/>
      <c r="D246" s="704">
        <f>SUMIF($D$23:$D$103,$A$246&amp;" - "&amp;B246,$H$23:$H$103)</f>
        <v>0</v>
      </c>
      <c r="E246" s="108">
        <f>'Emission Factors'!D170*D246</f>
        <v>0</v>
      </c>
      <c r="F246" s="107">
        <f>'Emission Factors'!E170*D246</f>
        <v>0</v>
      </c>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row>
    <row r="247" spans="1:30">
      <c r="A247" s="1201"/>
      <c r="B247" s="677" t="s">
        <v>1033</v>
      </c>
      <c r="C247" s="649"/>
      <c r="D247" s="705">
        <f>SUMIF($D$23:$D$103,$A$246&amp;" - "&amp;B247,$H$23:$H$103)</f>
        <v>0</v>
      </c>
      <c r="E247" s="147">
        <f>'Emission Factors'!D171*D247</f>
        <v>0</v>
      </c>
      <c r="F247" s="144">
        <f>'Emission Factors'!E171*D247</f>
        <v>0</v>
      </c>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row>
    <row r="248" spans="1:30">
      <c r="A248" s="1201"/>
      <c r="B248" s="677" t="s">
        <v>1034</v>
      </c>
      <c r="C248" s="649"/>
      <c r="D248" s="705">
        <f>SUMIF($D$23:$D$103,$A$246&amp;" - "&amp;B248,$H$23:$H$103)</f>
        <v>0</v>
      </c>
      <c r="E248" s="147">
        <f>'Emission Factors'!D172*D248</f>
        <v>0</v>
      </c>
      <c r="F248" s="144">
        <f>'Emission Factors'!E172*D248</f>
        <v>0</v>
      </c>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row>
    <row r="249" spans="1:30">
      <c r="A249" s="1201"/>
      <c r="B249" s="677" t="s">
        <v>1036</v>
      </c>
      <c r="C249" s="649"/>
      <c r="D249" s="705">
        <f>SUMIF($D$23:$D$103,$A$246&amp;" - "&amp;B249,$H$23:$H$103)</f>
        <v>0</v>
      </c>
      <c r="E249" s="147">
        <f>'Emission Factors'!D173*D249</f>
        <v>0</v>
      </c>
      <c r="F249" s="144">
        <f>'Emission Factors'!E173*D249</f>
        <v>0</v>
      </c>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row>
    <row r="250" spans="1:30" ht="13.5" thickBot="1">
      <c r="A250" s="1202"/>
      <c r="B250" s="681" t="s">
        <v>1035</v>
      </c>
      <c r="C250" s="682"/>
      <c r="D250" s="703">
        <f>SUMIF($D$23:$D$103,$A$246&amp;" - "&amp;B250,$H$23:$H$103)</f>
        <v>0</v>
      </c>
      <c r="E250" s="676">
        <f>'Emission Factors'!D174*D250</f>
        <v>0</v>
      </c>
      <c r="F250" s="683">
        <f>'Emission Factors'!E174*D250</f>
        <v>0</v>
      </c>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row>
    <row r="251" spans="1:30">
      <c r="A251" s="1200" t="s">
        <v>1037</v>
      </c>
      <c r="B251" s="679" t="s">
        <v>1033</v>
      </c>
      <c r="C251" s="680"/>
      <c r="D251" s="704">
        <f>SUMIF($D$23:$D$103,$A$251&amp;" - "&amp;B251,$H$23:$H$103)</f>
        <v>0</v>
      </c>
      <c r="E251" s="108">
        <f>'Emission Factors'!D175*D251</f>
        <v>0</v>
      </c>
      <c r="F251" s="107">
        <f>'Emission Factors'!E175*D251</f>
        <v>0</v>
      </c>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row>
    <row r="252" spans="1:30">
      <c r="A252" s="1201"/>
      <c r="B252" s="677" t="s">
        <v>1034</v>
      </c>
      <c r="C252" s="649"/>
      <c r="D252" s="705">
        <f>SUMIF($D$23:$D$103,$A$251&amp;" - "&amp;B252,$H$23:$H$103)</f>
        <v>0</v>
      </c>
      <c r="E252" s="147">
        <f>'Emission Factors'!D176*D252</f>
        <v>0</v>
      </c>
      <c r="F252" s="144">
        <f>'Emission Factors'!E176*D252</f>
        <v>0</v>
      </c>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row>
    <row r="253" spans="1:30">
      <c r="A253" s="1201"/>
      <c r="B253" s="677" t="s">
        <v>1036</v>
      </c>
      <c r="C253" s="649"/>
      <c r="D253" s="705">
        <f>SUMIF($D$23:$D$103,$A$251&amp;" - "&amp;B253,$H$23:$H$103)</f>
        <v>0</v>
      </c>
      <c r="E253" s="147">
        <f>'Emission Factors'!D177*D253</f>
        <v>0</v>
      </c>
      <c r="F253" s="144">
        <f>'Emission Factors'!E177*D253</f>
        <v>0</v>
      </c>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row>
    <row r="254" spans="1:30" ht="13.5" thickBot="1">
      <c r="A254" s="1202"/>
      <c r="B254" s="681" t="s">
        <v>1035</v>
      </c>
      <c r="C254" s="682"/>
      <c r="D254" s="703">
        <f>SUMIF($D$23:$D$103,$A$251&amp;" - "&amp;B254,$H$23:$H$103)</f>
        <v>0</v>
      </c>
      <c r="E254" s="676">
        <f>'Emission Factors'!D178*D254</f>
        <v>0</v>
      </c>
      <c r="F254" s="683">
        <f>'Emission Factors'!E178*D254</f>
        <v>0</v>
      </c>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row>
    <row r="255" spans="1:30">
      <c r="A255" s="1200" t="s">
        <v>1038</v>
      </c>
      <c r="B255" s="679" t="s">
        <v>1032</v>
      </c>
      <c r="C255" s="680"/>
      <c r="D255" s="704">
        <f t="shared" ref="D255:D260" si="23">SUMIF($D$23:$D$103,$A$255&amp;" - "&amp;B255,$H$23:$H$103)</f>
        <v>0</v>
      </c>
      <c r="E255" s="108">
        <f>'Emission Factors'!D179*D255</f>
        <v>0</v>
      </c>
      <c r="F255" s="107">
        <f>'Emission Factors'!E179*D255</f>
        <v>0</v>
      </c>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row>
    <row r="256" spans="1:30">
      <c r="A256" s="1201"/>
      <c r="B256" s="677" t="s">
        <v>183</v>
      </c>
      <c r="C256" s="649"/>
      <c r="D256" s="705">
        <f t="shared" si="23"/>
        <v>0</v>
      </c>
      <c r="E256" s="147">
        <f>'Emission Factors'!D180*D256</f>
        <v>0</v>
      </c>
      <c r="F256" s="144">
        <f>'Emission Factors'!E180*D256</f>
        <v>0</v>
      </c>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row>
    <row r="257" spans="1:30">
      <c r="A257" s="1201"/>
      <c r="B257" s="677" t="s">
        <v>1033</v>
      </c>
      <c r="C257" s="649"/>
      <c r="D257" s="705">
        <f t="shared" si="23"/>
        <v>0</v>
      </c>
      <c r="E257" s="147">
        <f>'Emission Factors'!D181*D257</f>
        <v>0</v>
      </c>
      <c r="F257" s="144">
        <f>'Emission Factors'!E181*D257</f>
        <v>0</v>
      </c>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row>
    <row r="258" spans="1:30">
      <c r="A258" s="1201"/>
      <c r="B258" s="677" t="s">
        <v>1034</v>
      </c>
      <c r="C258" s="649"/>
      <c r="D258" s="705">
        <f t="shared" si="23"/>
        <v>0</v>
      </c>
      <c r="E258" s="147">
        <f>'Emission Factors'!D182*D258</f>
        <v>0</v>
      </c>
      <c r="F258" s="144">
        <f>'Emission Factors'!E182*D258</f>
        <v>0</v>
      </c>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row>
    <row r="259" spans="1:30">
      <c r="A259" s="1201"/>
      <c r="B259" s="677" t="s">
        <v>1036</v>
      </c>
      <c r="C259" s="649"/>
      <c r="D259" s="705">
        <f t="shared" si="23"/>
        <v>0</v>
      </c>
      <c r="E259" s="147">
        <f>'Emission Factors'!D183*D259</f>
        <v>0</v>
      </c>
      <c r="F259" s="144">
        <f>'Emission Factors'!E183*D259</f>
        <v>0</v>
      </c>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row>
    <row r="260" spans="1:30" ht="13.5" thickBot="1">
      <c r="A260" s="1202"/>
      <c r="B260" s="681" t="s">
        <v>1035</v>
      </c>
      <c r="C260" s="682"/>
      <c r="D260" s="703">
        <f t="shared" si="23"/>
        <v>0</v>
      </c>
      <c r="E260" s="676">
        <f>'Emission Factors'!D184*D260</f>
        <v>0</v>
      </c>
      <c r="F260" s="683">
        <f>'Emission Factors'!E184*D260</f>
        <v>0</v>
      </c>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row>
    <row r="261" spans="1:30">
      <c r="A261" s="1200" t="s">
        <v>1039</v>
      </c>
      <c r="B261" s="679" t="s">
        <v>1032</v>
      </c>
      <c r="C261" s="680"/>
      <c r="D261" s="704">
        <f t="shared" ref="D261:D266" si="24">SUMIF($D$23:$D$103,$A$261&amp;" - "&amp;B261,$H$23:$H$103)</f>
        <v>0</v>
      </c>
      <c r="E261" s="108">
        <f>'Emission Factors'!D185*D261</f>
        <v>0</v>
      </c>
      <c r="F261" s="107">
        <f>'Emission Factors'!E185*D261</f>
        <v>0</v>
      </c>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row>
    <row r="262" spans="1:30">
      <c r="A262" s="1201"/>
      <c r="B262" s="678" t="s">
        <v>183</v>
      </c>
      <c r="C262" s="649"/>
      <c r="D262" s="705">
        <f t="shared" si="24"/>
        <v>0</v>
      </c>
      <c r="E262" s="147">
        <f>'Emission Factors'!D186*D262</f>
        <v>0</v>
      </c>
      <c r="F262" s="144">
        <f>'Emission Factors'!E186*D262</f>
        <v>0</v>
      </c>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row>
    <row r="263" spans="1:30">
      <c r="A263" s="1201"/>
      <c r="B263" s="678" t="s">
        <v>1033</v>
      </c>
      <c r="C263" s="649"/>
      <c r="D263" s="705">
        <f t="shared" si="24"/>
        <v>0</v>
      </c>
      <c r="E263" s="147">
        <f>'Emission Factors'!D187*D263</f>
        <v>0</v>
      </c>
      <c r="F263" s="144">
        <f>'Emission Factors'!E187*D263</f>
        <v>0</v>
      </c>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row>
    <row r="264" spans="1:30">
      <c r="A264" s="1201"/>
      <c r="B264" s="678" t="s">
        <v>1034</v>
      </c>
      <c r="C264" s="649"/>
      <c r="D264" s="705">
        <f t="shared" si="24"/>
        <v>0</v>
      </c>
      <c r="E264" s="147">
        <f>'Emission Factors'!D188*D264</f>
        <v>0</v>
      </c>
      <c r="F264" s="144">
        <f>'Emission Factors'!E188*D264</f>
        <v>0</v>
      </c>
      <c r="G264" s="162"/>
      <c r="H264" s="162"/>
      <c r="I264" s="183"/>
      <c r="J264" s="162"/>
      <c r="K264" s="162"/>
      <c r="L264" s="162"/>
      <c r="M264" s="162"/>
      <c r="N264" s="162"/>
      <c r="O264" s="162"/>
      <c r="P264" s="162"/>
      <c r="Q264" s="162"/>
      <c r="R264" s="162"/>
      <c r="S264" s="162"/>
      <c r="T264" s="162"/>
      <c r="U264" s="162"/>
      <c r="V264" s="162"/>
      <c r="W264" s="162"/>
      <c r="X264" s="162"/>
      <c r="Y264" s="162"/>
      <c r="Z264" s="162"/>
      <c r="AA264" s="162"/>
      <c r="AB264" s="162"/>
      <c r="AC264" s="162"/>
      <c r="AD264" s="162"/>
    </row>
    <row r="265" spans="1:30">
      <c r="A265" s="1201"/>
      <c r="B265" s="678" t="s">
        <v>1036</v>
      </c>
      <c r="C265" s="649"/>
      <c r="D265" s="705">
        <f t="shared" si="24"/>
        <v>0</v>
      </c>
      <c r="E265" s="147">
        <f>'Emission Factors'!D189*D265</f>
        <v>0</v>
      </c>
      <c r="F265" s="144">
        <f>'Emission Factors'!E189*D265</f>
        <v>0</v>
      </c>
      <c r="G265" s="162"/>
      <c r="H265" s="162"/>
      <c r="I265" s="183"/>
      <c r="J265" s="162"/>
      <c r="K265" s="162"/>
      <c r="L265" s="162"/>
      <c r="M265" s="162"/>
      <c r="N265" s="162"/>
      <c r="O265" s="162"/>
      <c r="P265" s="162"/>
      <c r="Q265" s="162"/>
      <c r="R265" s="162"/>
      <c r="S265" s="162"/>
      <c r="T265" s="162"/>
      <c r="U265" s="162"/>
      <c r="V265" s="162"/>
      <c r="W265" s="162"/>
      <c r="X265" s="162"/>
      <c r="Y265" s="162"/>
      <c r="Z265" s="162"/>
      <c r="AA265" s="162"/>
      <c r="AB265" s="162"/>
      <c r="AC265" s="162"/>
      <c r="AD265" s="162"/>
    </row>
    <row r="266" spans="1:30" ht="13.5" thickBot="1">
      <c r="A266" s="1202"/>
      <c r="B266" s="666" t="s">
        <v>1035</v>
      </c>
      <c r="C266" s="651"/>
      <c r="D266" s="703">
        <f t="shared" si="24"/>
        <v>2130</v>
      </c>
      <c r="E266" s="676">
        <f>'Emission Factors'!D190*D266</f>
        <v>19.169999999999998</v>
      </c>
      <c r="F266" s="683">
        <f>'Emission Factors'!E190*D266</f>
        <v>91.589999999999989</v>
      </c>
      <c r="G266" s="162"/>
      <c r="H266" s="162"/>
      <c r="I266" s="183"/>
      <c r="J266" s="162"/>
      <c r="K266" s="162"/>
      <c r="L266" s="162"/>
      <c r="M266" s="162"/>
      <c r="N266" s="162"/>
      <c r="O266" s="162"/>
      <c r="P266" s="162"/>
      <c r="Q266" s="162"/>
      <c r="R266" s="162"/>
      <c r="S266" s="162"/>
      <c r="T266" s="162"/>
      <c r="U266" s="162"/>
      <c r="V266" s="162"/>
      <c r="W266" s="162"/>
      <c r="X266" s="162"/>
      <c r="Y266" s="162"/>
      <c r="Z266" s="162"/>
      <c r="AA266" s="162"/>
      <c r="AB266" s="162"/>
      <c r="AC266" s="162"/>
      <c r="AD266" s="162"/>
    </row>
    <row r="267" spans="1:30">
      <c r="A267" s="4"/>
      <c r="B267" s="4"/>
      <c r="C267" s="4"/>
      <c r="D267" s="4"/>
      <c r="E267" s="63"/>
      <c r="F267" s="72"/>
      <c r="G267" s="37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row>
    <row r="268" spans="1:30" ht="15" thickBot="1">
      <c r="A268" s="7" t="s">
        <v>1254</v>
      </c>
      <c r="B268" s="7"/>
      <c r="C268" s="7"/>
      <c r="D268" s="4"/>
      <c r="E268" s="4"/>
      <c r="F268" s="4"/>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row>
    <row r="269" spans="1:30" ht="26.25" thickBot="1">
      <c r="A269" s="761" t="s">
        <v>135</v>
      </c>
      <c r="B269" s="741" t="s">
        <v>161</v>
      </c>
      <c r="C269" s="622" t="s">
        <v>259</v>
      </c>
      <c r="D269" s="741" t="s">
        <v>260</v>
      </c>
      <c r="E269" s="762" t="s">
        <v>255</v>
      </c>
      <c r="F269" s="4"/>
      <c r="G269" s="162"/>
      <c r="H269" s="162"/>
      <c r="I269" s="162"/>
      <c r="J269" s="227"/>
      <c r="K269" s="227"/>
      <c r="L269" s="162"/>
      <c r="M269" s="162"/>
      <c r="N269" s="162"/>
      <c r="O269" s="162"/>
      <c r="P269" s="162"/>
      <c r="Q269" s="162"/>
      <c r="R269" s="162"/>
      <c r="S269" s="162"/>
      <c r="T269" s="162"/>
      <c r="U269" s="162"/>
      <c r="V269" s="162"/>
      <c r="W269" s="162"/>
      <c r="X269" s="162"/>
      <c r="Y269" s="162"/>
      <c r="Z269" s="162"/>
      <c r="AA269" s="162"/>
      <c r="AB269" s="162"/>
      <c r="AC269" s="162"/>
      <c r="AD269" s="162"/>
    </row>
    <row r="270" spans="1:30">
      <c r="A270" s="1200" t="s">
        <v>1040</v>
      </c>
      <c r="B270" s="750" t="s">
        <v>735</v>
      </c>
      <c r="C270" s="751">
        <f>SUMIF($D$23:$D$103,$A$270&amp;" - "&amp;B270,$F$23:$F$103)</f>
        <v>0</v>
      </c>
      <c r="D270" s="751">
        <f>'Emission Factors'!C194*C270</f>
        <v>0</v>
      </c>
      <c r="E270" s="752">
        <f>'Emission Factors'!D194*C270</f>
        <v>0</v>
      </c>
      <c r="F270" s="4"/>
      <c r="G270" s="162"/>
      <c r="H270" s="162"/>
      <c r="I270" s="162"/>
      <c r="J270" s="227"/>
      <c r="K270" s="227"/>
      <c r="L270" s="162"/>
      <c r="M270" s="162"/>
      <c r="N270" s="162"/>
      <c r="O270" s="162"/>
      <c r="P270" s="162"/>
      <c r="Q270" s="162"/>
      <c r="R270" s="162"/>
      <c r="S270" s="162"/>
      <c r="T270" s="162"/>
      <c r="U270" s="162"/>
      <c r="V270" s="162"/>
      <c r="W270" s="162"/>
      <c r="X270" s="162"/>
      <c r="Y270" s="162"/>
      <c r="Z270" s="162"/>
      <c r="AA270" s="162"/>
      <c r="AB270" s="162"/>
      <c r="AC270" s="162"/>
      <c r="AD270" s="162"/>
    </row>
    <row r="271" spans="1:30">
      <c r="A271" s="1201"/>
      <c r="B271" s="664" t="s">
        <v>1199</v>
      </c>
      <c r="C271" s="744">
        <f>SUMIF($D$23:$D$103,$A$270&amp;" - "&amp;B271,$F$23:$F$103)</f>
        <v>0</v>
      </c>
      <c r="D271" s="744">
        <f>'Emission Factors'!C195*C271</f>
        <v>0</v>
      </c>
      <c r="E271" s="753">
        <f>'Emission Factors'!D195*C271</f>
        <v>0</v>
      </c>
      <c r="F271" s="4"/>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row>
    <row r="272" spans="1:30">
      <c r="A272" s="1201"/>
      <c r="B272" s="664" t="s">
        <v>1200</v>
      </c>
      <c r="C272" s="744">
        <f>SUMIF($D$23:$D$103,$A$270&amp;" - "&amp;B272,$F$23:$F$103)</f>
        <v>0</v>
      </c>
      <c r="D272" s="744">
        <f>'Emission Factors'!C196*C272</f>
        <v>0</v>
      </c>
      <c r="E272" s="753">
        <f>'Emission Factors'!D196*C272</f>
        <v>0</v>
      </c>
      <c r="F272" s="4"/>
      <c r="G272" s="162"/>
      <c r="H272" s="183"/>
      <c r="I272" s="183"/>
      <c r="J272" s="227"/>
      <c r="K272" s="227"/>
      <c r="L272" s="162"/>
      <c r="M272" s="162"/>
      <c r="N272" s="162"/>
      <c r="O272" s="162"/>
      <c r="P272" s="162"/>
      <c r="Q272" s="162"/>
      <c r="R272" s="162"/>
      <c r="S272" s="162"/>
      <c r="T272" s="162"/>
      <c r="U272" s="162"/>
      <c r="V272" s="162"/>
      <c r="W272" s="162"/>
      <c r="X272" s="162"/>
      <c r="Y272" s="162"/>
      <c r="Z272" s="162"/>
      <c r="AA272" s="162"/>
      <c r="AB272" s="162"/>
      <c r="AC272" s="162"/>
      <c r="AD272" s="162"/>
    </row>
    <row r="273" spans="1:30" ht="13.5" thickBot="1">
      <c r="A273" s="1202"/>
      <c r="B273" s="670" t="s">
        <v>1027</v>
      </c>
      <c r="C273" s="747">
        <f>SUMIF($D$23:$D$103,$A$270&amp;" - "&amp;B273,$F$23:$F$103)</f>
        <v>0</v>
      </c>
      <c r="D273" s="747">
        <f>'Emission Factors'!C197*C273</f>
        <v>0</v>
      </c>
      <c r="E273" s="754">
        <f>'Emission Factors'!D197*C273</f>
        <v>0</v>
      </c>
      <c r="F273" s="4"/>
      <c r="G273" s="162"/>
      <c r="H273" s="162"/>
      <c r="I273" s="162"/>
      <c r="J273" s="227"/>
      <c r="K273" s="227"/>
      <c r="L273" s="162"/>
      <c r="M273" s="162"/>
      <c r="N273" s="162"/>
      <c r="O273" s="162"/>
      <c r="P273" s="162"/>
      <c r="Q273" s="162"/>
      <c r="R273" s="162"/>
      <c r="S273" s="162"/>
      <c r="T273" s="162"/>
      <c r="U273" s="162"/>
      <c r="V273" s="162"/>
      <c r="W273" s="162"/>
      <c r="X273" s="162"/>
      <c r="Y273" s="162"/>
      <c r="Z273" s="162"/>
      <c r="AA273" s="162"/>
      <c r="AB273" s="162"/>
      <c r="AC273" s="162"/>
      <c r="AD273" s="162"/>
    </row>
    <row r="274" spans="1:30" ht="13.5" thickBot="1">
      <c r="A274" s="686" t="s">
        <v>1041</v>
      </c>
      <c r="B274" s="669" t="s">
        <v>1027</v>
      </c>
      <c r="C274" s="746">
        <f>SUMIF($D$23:$D$103,$A$274&amp;" - "&amp;B274,$F$23:$F$103)</f>
        <v>0</v>
      </c>
      <c r="D274" s="746">
        <f>'Emission Factors'!C198*C274</f>
        <v>0</v>
      </c>
      <c r="E274" s="759">
        <f>'Emission Factors'!D198*C274</f>
        <v>0</v>
      </c>
      <c r="F274" s="4"/>
      <c r="G274" s="162"/>
      <c r="H274" s="162"/>
      <c r="I274" s="162"/>
      <c r="J274" s="227"/>
      <c r="K274" s="227"/>
      <c r="L274" s="162"/>
      <c r="M274" s="162"/>
      <c r="N274" s="162"/>
      <c r="O274" s="162"/>
      <c r="P274" s="162"/>
      <c r="Q274" s="162"/>
      <c r="R274" s="162"/>
      <c r="S274" s="162"/>
      <c r="T274" s="162"/>
      <c r="U274" s="162"/>
      <c r="V274" s="162"/>
      <c r="W274" s="162"/>
      <c r="X274" s="162"/>
      <c r="Y274" s="162"/>
      <c r="Z274" s="162"/>
      <c r="AA274" s="162"/>
      <c r="AB274" s="162"/>
      <c r="AC274" s="162"/>
      <c r="AD274" s="162"/>
    </row>
    <row r="275" spans="1:30">
      <c r="A275" s="1200" t="s">
        <v>205</v>
      </c>
      <c r="B275" s="750" t="s">
        <v>1042</v>
      </c>
      <c r="C275" s="751">
        <f>SUMIF($D$23:$D$103,$A$275&amp;" - "&amp;B275,$F$23:$F$103)</f>
        <v>0</v>
      </c>
      <c r="D275" s="751">
        <f>'Emission Factors'!C199*C275</f>
        <v>0</v>
      </c>
      <c r="E275" s="752">
        <f>'Emission Factors'!D199*C275</f>
        <v>0</v>
      </c>
      <c r="F275" s="4"/>
      <c r="G275" s="162"/>
      <c r="H275" s="162"/>
      <c r="I275" s="162"/>
      <c r="J275" s="227"/>
      <c r="K275" s="227"/>
      <c r="L275" s="162"/>
      <c r="M275" s="162"/>
      <c r="N275" s="162"/>
      <c r="O275" s="162"/>
      <c r="P275" s="162"/>
      <c r="Q275" s="162"/>
      <c r="R275" s="162"/>
      <c r="S275" s="162"/>
      <c r="T275" s="162"/>
      <c r="U275" s="162"/>
      <c r="V275" s="162"/>
      <c r="W275" s="162"/>
      <c r="X275" s="162"/>
      <c r="Y275" s="162"/>
      <c r="Z275" s="162"/>
      <c r="AA275" s="162"/>
      <c r="AB275" s="162"/>
      <c r="AC275" s="162"/>
      <c r="AD275" s="162"/>
    </row>
    <row r="276" spans="1:30" ht="13.5" thickBot="1">
      <c r="A276" s="1202"/>
      <c r="B276" s="670" t="s">
        <v>580</v>
      </c>
      <c r="C276" s="747">
        <f>SUMIF($D$23:$D$103,$A$275&amp;" - "&amp;B276,$F$23:$F$103)</f>
        <v>0</v>
      </c>
      <c r="D276" s="747">
        <f>'Emission Factors'!C200*C276</f>
        <v>0</v>
      </c>
      <c r="E276" s="754">
        <f>'Emission Factors'!D200*C276</f>
        <v>0</v>
      </c>
      <c r="F276" s="4"/>
      <c r="G276" s="162"/>
      <c r="H276" s="183"/>
      <c r="I276" s="162"/>
      <c r="J276" s="227"/>
      <c r="K276" s="227"/>
      <c r="L276" s="162"/>
      <c r="M276" s="162"/>
      <c r="N276" s="162"/>
      <c r="O276" s="162"/>
      <c r="P276" s="162"/>
      <c r="Q276" s="162"/>
      <c r="R276" s="162"/>
      <c r="S276" s="162"/>
      <c r="T276" s="162"/>
      <c r="U276" s="162"/>
      <c r="V276" s="162"/>
      <c r="W276" s="162"/>
      <c r="X276" s="162"/>
      <c r="Y276" s="162"/>
      <c r="Z276" s="162"/>
      <c r="AA276" s="162"/>
      <c r="AB276" s="162"/>
      <c r="AC276" s="162"/>
      <c r="AD276" s="162"/>
    </row>
    <row r="277" spans="1:30">
      <c r="A277" s="1200" t="s">
        <v>1207</v>
      </c>
      <c r="B277" s="750" t="s">
        <v>1199</v>
      </c>
      <c r="C277" s="751">
        <f t="shared" ref="C277:C282" si="25">SUMIF($D$23:$D$103,$A$277&amp;" - "&amp;B277,$F$23:$F$103)</f>
        <v>0</v>
      </c>
      <c r="D277" s="751">
        <f>'Emission Factors'!C201*C277</f>
        <v>0</v>
      </c>
      <c r="E277" s="752">
        <f>'Emission Factors'!D201*C277</f>
        <v>0</v>
      </c>
      <c r="F277" s="4"/>
      <c r="G277" s="162"/>
      <c r="H277" s="183"/>
      <c r="I277" s="162"/>
      <c r="J277" s="227"/>
      <c r="K277" s="227"/>
      <c r="L277" s="162"/>
      <c r="M277" s="162"/>
      <c r="N277" s="162"/>
      <c r="O277" s="162"/>
      <c r="P277" s="162"/>
      <c r="Q277" s="162"/>
      <c r="R277" s="162"/>
      <c r="S277" s="162"/>
      <c r="T277" s="162"/>
      <c r="U277" s="162"/>
      <c r="V277" s="162"/>
      <c r="W277" s="162"/>
      <c r="X277" s="162"/>
      <c r="Y277" s="162"/>
      <c r="Z277" s="162"/>
      <c r="AA277" s="162"/>
      <c r="AB277" s="162"/>
      <c r="AC277" s="162"/>
      <c r="AD277" s="162"/>
    </row>
    <row r="278" spans="1:30">
      <c r="A278" s="1201"/>
      <c r="B278" s="664" t="s">
        <v>1200</v>
      </c>
      <c r="C278" s="744">
        <f t="shared" si="25"/>
        <v>0</v>
      </c>
      <c r="D278" s="744">
        <f>'Emission Factors'!C202*C278</f>
        <v>0</v>
      </c>
      <c r="E278" s="753">
        <f>'Emission Factors'!D202*C278</f>
        <v>0</v>
      </c>
      <c r="F278" s="4"/>
      <c r="G278" s="162"/>
      <c r="H278" s="183"/>
      <c r="I278" s="162"/>
      <c r="J278" s="227"/>
      <c r="K278" s="227"/>
      <c r="L278" s="162"/>
      <c r="M278" s="162"/>
      <c r="N278" s="162"/>
      <c r="O278" s="162"/>
      <c r="P278" s="162"/>
      <c r="Q278" s="162"/>
      <c r="R278" s="162"/>
      <c r="S278" s="162"/>
      <c r="T278" s="162"/>
      <c r="U278" s="162"/>
      <c r="V278" s="162"/>
      <c r="W278" s="162"/>
      <c r="X278" s="162"/>
      <c r="Y278" s="162"/>
      <c r="Z278" s="162"/>
      <c r="AA278" s="162"/>
      <c r="AB278" s="162"/>
      <c r="AC278" s="162"/>
      <c r="AD278" s="162"/>
    </row>
    <row r="279" spans="1:30">
      <c r="A279" s="1201"/>
      <c r="B279" s="664" t="s">
        <v>1357</v>
      </c>
      <c r="C279" s="744">
        <f t="shared" si="25"/>
        <v>0</v>
      </c>
      <c r="D279" s="744">
        <f>'Emission Factors'!C203*C279</f>
        <v>0</v>
      </c>
      <c r="E279" s="753">
        <f>'Emission Factors'!D203*C279</f>
        <v>0</v>
      </c>
      <c r="F279" s="4"/>
      <c r="G279" s="162"/>
      <c r="H279" s="183"/>
      <c r="I279" s="162"/>
      <c r="J279" s="227"/>
      <c r="K279" s="227"/>
      <c r="L279" s="162"/>
      <c r="M279" s="162"/>
      <c r="N279" s="162"/>
      <c r="O279" s="162"/>
      <c r="P279" s="162"/>
      <c r="Q279" s="162"/>
      <c r="R279" s="162"/>
      <c r="S279" s="162"/>
      <c r="T279" s="162"/>
      <c r="U279" s="162"/>
      <c r="V279" s="162"/>
      <c r="W279" s="162"/>
      <c r="X279" s="162"/>
      <c r="Y279" s="162"/>
      <c r="Z279" s="162"/>
      <c r="AA279" s="162"/>
      <c r="AB279" s="162"/>
      <c r="AC279" s="162"/>
      <c r="AD279" s="162"/>
    </row>
    <row r="280" spans="1:30">
      <c r="A280" s="1201"/>
      <c r="B280" s="664" t="s">
        <v>1297</v>
      </c>
      <c r="C280" s="744">
        <f t="shared" si="25"/>
        <v>0</v>
      </c>
      <c r="D280" s="744">
        <f>'Emission Factors'!C204*C280</f>
        <v>0</v>
      </c>
      <c r="E280" s="753">
        <f>'Emission Factors'!D204*C280</f>
        <v>0</v>
      </c>
      <c r="F280" s="4"/>
      <c r="G280" s="162"/>
      <c r="H280" s="183"/>
      <c r="I280" s="162"/>
      <c r="J280" s="227"/>
      <c r="K280" s="227"/>
      <c r="L280" s="162"/>
      <c r="M280" s="162"/>
      <c r="N280" s="162"/>
      <c r="O280" s="162"/>
      <c r="P280" s="162"/>
      <c r="Q280" s="162"/>
      <c r="R280" s="162"/>
      <c r="S280" s="162"/>
      <c r="T280" s="162"/>
      <c r="U280" s="162"/>
      <c r="V280" s="162"/>
      <c r="W280" s="162"/>
      <c r="X280" s="162"/>
      <c r="Y280" s="162"/>
      <c r="Z280" s="162"/>
      <c r="AA280" s="162"/>
      <c r="AB280" s="162"/>
      <c r="AC280" s="162"/>
      <c r="AD280" s="162"/>
    </row>
    <row r="281" spans="1:30">
      <c r="A281" s="1201"/>
      <c r="B281" s="732" t="s">
        <v>1358</v>
      </c>
      <c r="C281" s="744">
        <f t="shared" si="25"/>
        <v>0</v>
      </c>
      <c r="D281" s="744">
        <f>'Emission Factors'!C205*C281</f>
        <v>0</v>
      </c>
      <c r="E281" s="753">
        <f>'Emission Factors'!D205*C281</f>
        <v>0</v>
      </c>
      <c r="F281" s="4"/>
      <c r="G281" s="162"/>
      <c r="H281" s="183"/>
      <c r="I281" s="162"/>
      <c r="J281" s="227"/>
      <c r="K281" s="227"/>
      <c r="L281" s="162"/>
      <c r="M281" s="162"/>
      <c r="N281" s="162"/>
      <c r="O281" s="162"/>
      <c r="P281" s="162"/>
      <c r="Q281" s="162"/>
      <c r="R281" s="162"/>
      <c r="S281" s="162"/>
      <c r="T281" s="162"/>
      <c r="U281" s="162"/>
      <c r="V281" s="162"/>
      <c r="W281" s="162"/>
      <c r="X281" s="162"/>
      <c r="Y281" s="162"/>
      <c r="Z281" s="162"/>
      <c r="AA281" s="162"/>
      <c r="AB281" s="162"/>
      <c r="AC281" s="162"/>
      <c r="AD281" s="162"/>
    </row>
    <row r="282" spans="1:30" ht="13.5" thickBot="1">
      <c r="A282" s="1202"/>
      <c r="B282" s="670" t="s">
        <v>1034</v>
      </c>
      <c r="C282" s="747">
        <f t="shared" si="25"/>
        <v>0</v>
      </c>
      <c r="D282" s="747">
        <f>'Emission Factors'!C206*C282</f>
        <v>0</v>
      </c>
      <c r="E282" s="754">
        <f>'Emission Factors'!D206*C282</f>
        <v>0</v>
      </c>
      <c r="F282" s="4"/>
      <c r="G282" s="162"/>
      <c r="H282" s="183"/>
      <c r="I282" s="162"/>
      <c r="J282" s="227"/>
      <c r="K282" s="227"/>
      <c r="L282" s="162"/>
      <c r="M282" s="162"/>
      <c r="N282" s="162"/>
      <c r="O282" s="162"/>
      <c r="P282" s="162"/>
      <c r="Q282" s="162"/>
      <c r="R282" s="162"/>
      <c r="S282" s="162"/>
      <c r="T282" s="162"/>
      <c r="U282" s="162"/>
      <c r="V282" s="162"/>
      <c r="W282" s="162"/>
      <c r="X282" s="162"/>
      <c r="Y282" s="162"/>
      <c r="Z282" s="162"/>
      <c r="AA282" s="162"/>
      <c r="AB282" s="162"/>
      <c r="AC282" s="162"/>
      <c r="AD282" s="162"/>
    </row>
    <row r="283" spans="1:30">
      <c r="A283" s="1200" t="s">
        <v>1208</v>
      </c>
      <c r="B283" s="750" t="s">
        <v>1199</v>
      </c>
      <c r="C283" s="751">
        <f t="shared" ref="C283:C288" si="26">SUMIF($D$23:$D$103,$A$283&amp;" - "&amp;B283,$F$23:$F$103)</f>
        <v>0</v>
      </c>
      <c r="D283" s="751">
        <f>'Emission Factors'!C207*C283</f>
        <v>0</v>
      </c>
      <c r="E283" s="752">
        <f>'Emission Factors'!D207*C283</f>
        <v>0</v>
      </c>
      <c r="F283" s="4"/>
      <c r="G283" s="162"/>
      <c r="H283" s="183"/>
      <c r="I283" s="162"/>
      <c r="J283" s="227"/>
      <c r="K283" s="227"/>
      <c r="L283" s="162"/>
      <c r="M283" s="162"/>
      <c r="N283" s="162"/>
      <c r="O283" s="162"/>
      <c r="P283" s="162"/>
      <c r="Q283" s="162"/>
      <c r="R283" s="162"/>
      <c r="S283" s="162"/>
      <c r="T283" s="162"/>
      <c r="U283" s="162"/>
      <c r="V283" s="162"/>
      <c r="W283" s="162"/>
      <c r="X283" s="162"/>
      <c r="Y283" s="162"/>
      <c r="Z283" s="162"/>
      <c r="AA283" s="162"/>
      <c r="AB283" s="162"/>
      <c r="AC283" s="162"/>
      <c r="AD283" s="162"/>
    </row>
    <row r="284" spans="1:30">
      <c r="A284" s="1201"/>
      <c r="B284" s="664" t="s">
        <v>1200</v>
      </c>
      <c r="C284" s="744">
        <f t="shared" si="26"/>
        <v>0</v>
      </c>
      <c r="D284" s="744">
        <f>'Emission Factors'!C208*C284</f>
        <v>0</v>
      </c>
      <c r="E284" s="753">
        <f>'Emission Factors'!D208*C284</f>
        <v>0</v>
      </c>
      <c r="F284" s="4"/>
      <c r="G284" s="162"/>
      <c r="H284" s="183"/>
      <c r="I284" s="162"/>
      <c r="J284" s="227"/>
      <c r="K284" s="227"/>
      <c r="L284" s="162"/>
      <c r="M284" s="162"/>
      <c r="N284" s="162"/>
      <c r="O284" s="162"/>
      <c r="P284" s="162"/>
      <c r="Q284" s="162"/>
      <c r="R284" s="162"/>
      <c r="S284" s="162"/>
      <c r="T284" s="162"/>
      <c r="U284" s="162"/>
      <c r="V284" s="162"/>
      <c r="W284" s="162"/>
      <c r="X284" s="162"/>
      <c r="Y284" s="162"/>
      <c r="Z284" s="162"/>
      <c r="AA284" s="162"/>
      <c r="AB284" s="162"/>
      <c r="AC284" s="162"/>
      <c r="AD284" s="162"/>
    </row>
    <row r="285" spans="1:30">
      <c r="A285" s="1201"/>
      <c r="B285" s="664" t="s">
        <v>1357</v>
      </c>
      <c r="C285" s="744">
        <f t="shared" si="26"/>
        <v>0</v>
      </c>
      <c r="D285" s="744">
        <f>'Emission Factors'!C209*C285</f>
        <v>0</v>
      </c>
      <c r="E285" s="753">
        <f>'Emission Factors'!D209*C285</f>
        <v>0</v>
      </c>
      <c r="F285" s="4"/>
      <c r="G285" s="162"/>
      <c r="H285" s="183"/>
      <c r="I285" s="162"/>
      <c r="J285" s="227"/>
      <c r="K285" s="227"/>
      <c r="L285" s="162"/>
      <c r="M285" s="162"/>
      <c r="N285" s="162"/>
      <c r="O285" s="162"/>
      <c r="P285" s="162"/>
      <c r="Q285" s="162"/>
      <c r="R285" s="162"/>
      <c r="S285" s="162"/>
      <c r="T285" s="162"/>
      <c r="U285" s="162"/>
      <c r="V285" s="162"/>
      <c r="W285" s="162"/>
      <c r="X285" s="162"/>
      <c r="Y285" s="162"/>
      <c r="Z285" s="162"/>
      <c r="AA285" s="162"/>
      <c r="AB285" s="162"/>
      <c r="AC285" s="162"/>
      <c r="AD285" s="162"/>
    </row>
    <row r="286" spans="1:30">
      <c r="A286" s="1201"/>
      <c r="B286" s="664" t="s">
        <v>1297</v>
      </c>
      <c r="C286" s="744">
        <f t="shared" si="26"/>
        <v>0</v>
      </c>
      <c r="D286" s="744">
        <f>'Emission Factors'!C210*C286</f>
        <v>0</v>
      </c>
      <c r="E286" s="753">
        <f>'Emission Factors'!D210*C286</f>
        <v>0</v>
      </c>
      <c r="F286" s="4"/>
      <c r="G286" s="162"/>
      <c r="H286" s="183"/>
      <c r="I286" s="162"/>
      <c r="J286" s="227"/>
      <c r="K286" s="227"/>
      <c r="L286" s="162"/>
      <c r="M286" s="162"/>
      <c r="N286" s="162"/>
      <c r="O286" s="162"/>
      <c r="P286" s="162"/>
      <c r="Q286" s="162"/>
      <c r="R286" s="162"/>
      <c r="S286" s="162"/>
      <c r="T286" s="162"/>
      <c r="U286" s="162"/>
      <c r="V286" s="162"/>
      <c r="W286" s="162"/>
      <c r="X286" s="162"/>
      <c r="Y286" s="162"/>
      <c r="Z286" s="162"/>
      <c r="AA286" s="162"/>
      <c r="AB286" s="162"/>
      <c r="AC286" s="162"/>
      <c r="AD286" s="162"/>
    </row>
    <row r="287" spans="1:30">
      <c r="A287" s="1201"/>
      <c r="B287" s="732" t="s">
        <v>1358</v>
      </c>
      <c r="C287" s="744">
        <f t="shared" si="26"/>
        <v>0</v>
      </c>
      <c r="D287" s="744">
        <f>'Emission Factors'!C211*C287</f>
        <v>0</v>
      </c>
      <c r="E287" s="753">
        <f>'Emission Factors'!D211*C287</f>
        <v>0</v>
      </c>
      <c r="F287" s="4"/>
      <c r="G287" s="162"/>
      <c r="H287" s="183"/>
      <c r="I287" s="162"/>
      <c r="J287" s="227"/>
      <c r="K287" s="227"/>
      <c r="L287" s="162"/>
      <c r="M287" s="162"/>
      <c r="N287" s="162"/>
      <c r="O287" s="162"/>
      <c r="P287" s="162"/>
      <c r="Q287" s="162"/>
      <c r="R287" s="162"/>
      <c r="S287" s="162"/>
      <c r="T287" s="162"/>
      <c r="U287" s="162"/>
      <c r="V287" s="162"/>
      <c r="W287" s="162"/>
      <c r="X287" s="162"/>
      <c r="Y287" s="162"/>
      <c r="Z287" s="162"/>
      <c r="AA287" s="162"/>
      <c r="AB287" s="162"/>
      <c r="AC287" s="162"/>
      <c r="AD287" s="162"/>
    </row>
    <row r="288" spans="1:30" ht="13.5" thickBot="1">
      <c r="A288" s="1202"/>
      <c r="B288" s="670" t="s">
        <v>1034</v>
      </c>
      <c r="C288" s="747">
        <f t="shared" si="26"/>
        <v>0</v>
      </c>
      <c r="D288" s="747">
        <f>'Emission Factors'!C212*C288</f>
        <v>0</v>
      </c>
      <c r="E288" s="754">
        <f>'Emission Factors'!D212*C288</f>
        <v>0</v>
      </c>
      <c r="F288" s="4"/>
      <c r="G288" s="162"/>
      <c r="H288" s="183"/>
      <c r="I288" s="162"/>
      <c r="J288" s="227"/>
      <c r="K288" s="227"/>
      <c r="L288" s="162"/>
      <c r="M288" s="162"/>
      <c r="N288" s="162"/>
      <c r="O288" s="162"/>
      <c r="P288" s="162"/>
      <c r="Q288" s="162"/>
      <c r="R288" s="162"/>
      <c r="S288" s="162"/>
      <c r="T288" s="162"/>
      <c r="U288" s="162"/>
      <c r="V288" s="162"/>
      <c r="W288" s="162"/>
      <c r="X288" s="162"/>
      <c r="Y288" s="162"/>
      <c r="Z288" s="162"/>
      <c r="AA288" s="162"/>
      <c r="AB288" s="162"/>
      <c r="AC288" s="162"/>
      <c r="AD288" s="162"/>
    </row>
    <row r="289" spans="1:30">
      <c r="A289" s="1200" t="s">
        <v>1201</v>
      </c>
      <c r="B289" s="750" t="s">
        <v>1199</v>
      </c>
      <c r="C289" s="751">
        <f>SUMIF($D$23:$D$103,$A$289&amp;" - "&amp;B289,$F$23:$F$103)</f>
        <v>0</v>
      </c>
      <c r="D289" s="751">
        <f>'Emission Factors'!C213*C289</f>
        <v>0</v>
      </c>
      <c r="E289" s="752">
        <f>'Emission Factors'!D213*C289</f>
        <v>0</v>
      </c>
      <c r="F289" s="4"/>
      <c r="G289" s="162"/>
      <c r="H289" s="183"/>
      <c r="I289" s="162"/>
      <c r="J289" s="227"/>
      <c r="K289" s="227"/>
      <c r="L289" s="162"/>
      <c r="M289" s="162"/>
      <c r="N289" s="162"/>
      <c r="O289" s="162"/>
      <c r="P289" s="162"/>
      <c r="Q289" s="162"/>
      <c r="R289" s="162"/>
      <c r="S289" s="162"/>
      <c r="T289" s="162"/>
      <c r="U289" s="162"/>
      <c r="V289" s="162"/>
      <c r="W289" s="162"/>
      <c r="X289" s="162"/>
      <c r="Y289" s="162"/>
      <c r="Z289" s="162"/>
      <c r="AA289" s="162"/>
      <c r="AB289" s="162"/>
      <c r="AC289" s="162"/>
      <c r="AD289" s="162"/>
    </row>
    <row r="290" spans="1:30">
      <c r="A290" s="1201"/>
      <c r="B290" s="664" t="s">
        <v>1200</v>
      </c>
      <c r="C290" s="744">
        <f>SUMIF($D$23:$D$103,$A$289&amp;" - "&amp;B290,$F$23:$F$103)</f>
        <v>0</v>
      </c>
      <c r="D290" s="744">
        <f>'Emission Factors'!C214*C290</f>
        <v>0</v>
      </c>
      <c r="E290" s="753">
        <f>'Emission Factors'!D214*C290</f>
        <v>0</v>
      </c>
      <c r="F290" s="4"/>
      <c r="G290" s="162"/>
      <c r="H290" s="183"/>
      <c r="I290" s="162"/>
      <c r="J290" s="227"/>
      <c r="K290" s="227"/>
      <c r="L290" s="162"/>
      <c r="M290" s="162"/>
      <c r="N290" s="162"/>
      <c r="O290" s="162"/>
      <c r="P290" s="162"/>
      <c r="Q290" s="162"/>
      <c r="R290" s="162"/>
      <c r="S290" s="162"/>
      <c r="T290" s="162"/>
      <c r="U290" s="162"/>
      <c r="V290" s="162"/>
      <c r="W290" s="162"/>
      <c r="X290" s="162"/>
      <c r="Y290" s="162"/>
      <c r="Z290" s="162"/>
      <c r="AA290" s="162"/>
      <c r="AB290" s="162"/>
      <c r="AC290" s="162"/>
      <c r="AD290" s="162"/>
    </row>
    <row r="291" spans="1:30">
      <c r="A291" s="1201"/>
      <c r="B291" s="664" t="s">
        <v>1027</v>
      </c>
      <c r="C291" s="744">
        <f>SUMIF($D$23:$D$103,$A$289&amp;" - "&amp;B291,$F$23:$F$103)</f>
        <v>0</v>
      </c>
      <c r="D291" s="744">
        <f>'Emission Factors'!C215*C291</f>
        <v>0</v>
      </c>
      <c r="E291" s="753">
        <f>'Emission Factors'!D215*C291</f>
        <v>0</v>
      </c>
      <c r="F291" s="4"/>
      <c r="G291" s="162"/>
      <c r="H291" s="183"/>
      <c r="I291" s="162"/>
      <c r="J291" s="227"/>
      <c r="K291" s="227"/>
      <c r="L291" s="162"/>
      <c r="M291" s="162"/>
      <c r="N291" s="162"/>
      <c r="O291" s="162"/>
      <c r="P291" s="162"/>
      <c r="Q291" s="162"/>
      <c r="R291" s="162"/>
      <c r="S291" s="162"/>
      <c r="T291" s="162"/>
      <c r="U291" s="162"/>
      <c r="V291" s="162"/>
      <c r="W291" s="162"/>
      <c r="X291" s="162"/>
      <c r="Y291" s="162"/>
      <c r="Z291" s="162"/>
      <c r="AA291" s="162"/>
      <c r="AB291" s="162"/>
      <c r="AC291" s="162"/>
      <c r="AD291" s="162"/>
    </row>
    <row r="292" spans="1:30" ht="13.5" thickBot="1">
      <c r="A292" s="1202"/>
      <c r="B292" s="756" t="s">
        <v>1034</v>
      </c>
      <c r="C292" s="757">
        <f>SUMIF($D$23:$D$103,$A$289&amp;" - "&amp;B292,$F$23:$F$103)</f>
        <v>0</v>
      </c>
      <c r="D292" s="757">
        <f>'Emission Factors'!C216*C292</f>
        <v>0</v>
      </c>
      <c r="E292" s="758">
        <f>'Emission Factors'!D216*C292</f>
        <v>0</v>
      </c>
      <c r="F292" s="4"/>
      <c r="G292" s="162"/>
      <c r="H292" s="183"/>
      <c r="I292" s="162"/>
      <c r="J292" s="227"/>
      <c r="K292" s="227"/>
      <c r="L292" s="162"/>
      <c r="M292" s="162"/>
      <c r="N292" s="162"/>
      <c r="O292" s="162"/>
      <c r="P292" s="162"/>
      <c r="Q292" s="162"/>
      <c r="R292" s="162"/>
      <c r="S292" s="162"/>
      <c r="T292" s="162"/>
      <c r="U292" s="162"/>
      <c r="V292" s="162"/>
      <c r="W292" s="162"/>
      <c r="X292" s="162"/>
      <c r="Y292" s="162"/>
      <c r="Z292" s="162"/>
      <c r="AA292" s="162"/>
      <c r="AB292" s="162"/>
      <c r="AC292" s="162"/>
      <c r="AD292" s="162"/>
    </row>
    <row r="293" spans="1:30">
      <c r="A293" s="1201" t="s">
        <v>1202</v>
      </c>
      <c r="B293" s="748" t="s">
        <v>1043</v>
      </c>
      <c r="C293" s="749">
        <f>SUMIF($D$23:$D$103,$A$293&amp;" - "&amp;B293,$F$23:$F$103)</f>
        <v>0</v>
      </c>
      <c r="D293" s="749">
        <f>'Emission Factors'!C217*C293</f>
        <v>0</v>
      </c>
      <c r="E293" s="755">
        <f>'Emission Factors'!D217*C293</f>
        <v>0</v>
      </c>
      <c r="F293" s="4"/>
      <c r="G293" s="162"/>
      <c r="H293" s="183"/>
      <c r="I293" s="162"/>
      <c r="J293" s="227"/>
      <c r="K293" s="227"/>
      <c r="L293" s="162"/>
      <c r="M293" s="162"/>
      <c r="N293" s="162"/>
      <c r="O293" s="162"/>
      <c r="P293" s="162"/>
      <c r="Q293" s="162"/>
      <c r="R293" s="162"/>
      <c r="S293" s="162"/>
      <c r="T293" s="162"/>
      <c r="U293" s="162"/>
      <c r="V293" s="162"/>
      <c r="W293" s="162"/>
      <c r="X293" s="162"/>
      <c r="Y293" s="162"/>
      <c r="Z293" s="162"/>
      <c r="AA293" s="162"/>
      <c r="AB293" s="162"/>
      <c r="AC293" s="162"/>
      <c r="AD293" s="162"/>
    </row>
    <row r="294" spans="1:30">
      <c r="A294" s="1201"/>
      <c r="B294" s="664" t="s">
        <v>1027</v>
      </c>
      <c r="C294" s="744">
        <f>SUMIF($D$23:$D$103,$A$293&amp;" - "&amp;B294,$F$23:$F$103)</f>
        <v>0</v>
      </c>
      <c r="D294" s="744">
        <f>'Emission Factors'!C218*C294</f>
        <v>0</v>
      </c>
      <c r="E294" s="753">
        <f>'Emission Factors'!D218*C294</f>
        <v>0</v>
      </c>
      <c r="F294" s="4"/>
      <c r="G294" s="162"/>
      <c r="H294" s="183"/>
      <c r="I294" s="162"/>
      <c r="J294" s="227"/>
      <c r="K294" s="227"/>
      <c r="L294" s="162"/>
      <c r="M294" s="162"/>
      <c r="N294" s="162"/>
      <c r="O294" s="162"/>
      <c r="P294" s="162"/>
      <c r="Q294" s="162"/>
      <c r="R294" s="162"/>
      <c r="S294" s="162"/>
      <c r="T294" s="162"/>
      <c r="U294" s="162"/>
      <c r="V294" s="162"/>
      <c r="W294" s="162"/>
      <c r="X294" s="162"/>
      <c r="Y294" s="162"/>
      <c r="Z294" s="162"/>
      <c r="AA294" s="162"/>
      <c r="AB294" s="162"/>
      <c r="AC294" s="162"/>
      <c r="AD294" s="162"/>
    </row>
    <row r="295" spans="1:30" ht="13.5" thickBot="1">
      <c r="A295" s="1201"/>
      <c r="B295" s="732" t="s">
        <v>1034</v>
      </c>
      <c r="C295" s="745">
        <f>SUMIF($D$23:$D$103,$A$293&amp;" - "&amp;B295,$F$23:$F$103)</f>
        <v>0</v>
      </c>
      <c r="D295" s="745">
        <f>'Emission Factors'!C219*C295</f>
        <v>0</v>
      </c>
      <c r="E295" s="760">
        <f>'Emission Factors'!D219*C295</f>
        <v>0</v>
      </c>
      <c r="F295" s="4"/>
      <c r="G295" s="162"/>
      <c r="H295" s="183"/>
      <c r="I295" s="162"/>
      <c r="J295" s="227"/>
      <c r="K295" s="227"/>
      <c r="L295" s="162"/>
      <c r="M295" s="162"/>
      <c r="N295" s="162"/>
      <c r="O295" s="162"/>
      <c r="P295" s="162"/>
      <c r="Q295" s="162"/>
      <c r="R295" s="162"/>
      <c r="S295" s="162"/>
      <c r="T295" s="162"/>
      <c r="U295" s="162"/>
      <c r="V295" s="162"/>
      <c r="W295" s="162"/>
      <c r="X295" s="162"/>
      <c r="Y295" s="162"/>
      <c r="Z295" s="162"/>
      <c r="AA295" s="162"/>
      <c r="AB295" s="162"/>
      <c r="AC295" s="162"/>
      <c r="AD295" s="162"/>
    </row>
    <row r="296" spans="1:30">
      <c r="A296" s="1200" t="s">
        <v>1203</v>
      </c>
      <c r="B296" s="750" t="s">
        <v>1199</v>
      </c>
      <c r="C296" s="751">
        <f>SUMIF($D$23:$D$103,$A$296&amp;" - "&amp;B296,$F$23:$F$103)</f>
        <v>0</v>
      </c>
      <c r="D296" s="751">
        <f>'Emission Factors'!C220*C296</f>
        <v>0</v>
      </c>
      <c r="E296" s="752">
        <f>'Emission Factors'!D220*C296</f>
        <v>0</v>
      </c>
      <c r="F296" s="4"/>
      <c r="G296" s="162"/>
      <c r="H296" s="183"/>
      <c r="I296" s="162"/>
      <c r="J296" s="227"/>
      <c r="K296" s="227"/>
      <c r="L296" s="162"/>
      <c r="M296" s="162"/>
      <c r="N296" s="162"/>
      <c r="O296" s="162"/>
      <c r="P296" s="162"/>
      <c r="Q296" s="162"/>
      <c r="R296" s="162"/>
      <c r="S296" s="162"/>
      <c r="T296" s="162"/>
      <c r="U296" s="162"/>
      <c r="V296" s="162"/>
      <c r="W296" s="162"/>
      <c r="X296" s="162"/>
      <c r="Y296" s="162"/>
      <c r="Z296" s="162"/>
      <c r="AA296" s="162"/>
      <c r="AB296" s="162"/>
      <c r="AC296" s="162"/>
      <c r="AD296" s="162"/>
    </row>
    <row r="297" spans="1:30">
      <c r="A297" s="1201"/>
      <c r="B297" s="664" t="s">
        <v>1200</v>
      </c>
      <c r="C297" s="744">
        <f>SUMIF($D$23:$D$103,$A$296&amp;" - "&amp;B297,$F$23:$F$103)</f>
        <v>0</v>
      </c>
      <c r="D297" s="744">
        <f>'Emission Factors'!C221*C297</f>
        <v>0</v>
      </c>
      <c r="E297" s="753">
        <f>'Emission Factors'!D221*C297</f>
        <v>0</v>
      </c>
      <c r="F297" s="4"/>
      <c r="G297" s="162"/>
      <c r="H297" s="183"/>
      <c r="I297" s="162"/>
      <c r="J297" s="227"/>
      <c r="K297" s="227"/>
      <c r="L297" s="162"/>
      <c r="M297" s="162"/>
      <c r="N297" s="162"/>
      <c r="O297" s="162"/>
      <c r="P297" s="162"/>
      <c r="Q297" s="162"/>
      <c r="R297" s="162"/>
      <c r="S297" s="162"/>
      <c r="T297" s="162"/>
      <c r="U297" s="162"/>
      <c r="V297" s="162"/>
      <c r="W297" s="162"/>
      <c r="X297" s="162"/>
      <c r="Y297" s="162"/>
      <c r="Z297" s="162"/>
      <c r="AA297" s="162"/>
      <c r="AB297" s="162"/>
      <c r="AC297" s="162"/>
      <c r="AD297" s="162"/>
    </row>
    <row r="298" spans="1:30">
      <c r="A298" s="1201"/>
      <c r="B298" s="664" t="s">
        <v>1027</v>
      </c>
      <c r="C298" s="744">
        <f>SUMIF($D$23:$D$103,$A$296&amp;" - "&amp;B298,$F$23:$F$103)</f>
        <v>0</v>
      </c>
      <c r="D298" s="744">
        <f>'Emission Factors'!C222*C298</f>
        <v>0</v>
      </c>
      <c r="E298" s="753">
        <f>'Emission Factors'!D222*C298</f>
        <v>0</v>
      </c>
      <c r="F298" s="4"/>
      <c r="G298" s="162"/>
      <c r="H298" s="183"/>
      <c r="I298" s="162"/>
      <c r="J298" s="227"/>
      <c r="K298" s="227"/>
      <c r="L298" s="162"/>
      <c r="M298" s="162"/>
      <c r="N298" s="162"/>
      <c r="O298" s="162"/>
      <c r="P298" s="162"/>
      <c r="Q298" s="162"/>
      <c r="R298" s="162"/>
      <c r="S298" s="162"/>
      <c r="T298" s="162"/>
      <c r="U298" s="162"/>
      <c r="V298" s="162"/>
      <c r="W298" s="162"/>
      <c r="X298" s="162"/>
      <c r="Y298" s="162"/>
      <c r="Z298" s="162"/>
      <c r="AA298" s="162"/>
      <c r="AB298" s="162"/>
      <c r="AC298" s="162"/>
      <c r="AD298" s="162"/>
    </row>
    <row r="299" spans="1:30" ht="13.5" thickBot="1">
      <c r="A299" s="1202"/>
      <c r="B299" s="670" t="s">
        <v>1034</v>
      </c>
      <c r="C299" s="747">
        <f>SUMIF($D$23:$D$103,$A$296&amp;" - "&amp;B299,$F$23:$F$103)</f>
        <v>0</v>
      </c>
      <c r="D299" s="747">
        <f>'Emission Factors'!C223*C299</f>
        <v>0</v>
      </c>
      <c r="E299" s="754">
        <f>'Emission Factors'!D223*C299</f>
        <v>0</v>
      </c>
      <c r="F299" s="4"/>
      <c r="G299" s="162"/>
      <c r="H299" s="183"/>
      <c r="I299" s="162"/>
      <c r="J299" s="227"/>
      <c r="K299" s="227"/>
      <c r="L299" s="162"/>
      <c r="M299" s="162"/>
      <c r="N299" s="162"/>
      <c r="O299" s="162"/>
      <c r="P299" s="162"/>
      <c r="Q299" s="162"/>
      <c r="R299" s="162"/>
      <c r="S299" s="162"/>
      <c r="T299" s="162"/>
      <c r="U299" s="162"/>
      <c r="V299" s="162"/>
      <c r="W299" s="162"/>
      <c r="X299" s="162"/>
      <c r="Y299" s="162"/>
      <c r="Z299" s="162"/>
      <c r="AA299" s="162"/>
      <c r="AB299" s="162"/>
      <c r="AC299" s="162"/>
      <c r="AD299" s="162"/>
    </row>
    <row r="300" spans="1:30">
      <c r="A300" s="1201" t="s">
        <v>1204</v>
      </c>
      <c r="B300" s="748" t="s">
        <v>1199</v>
      </c>
      <c r="C300" s="749">
        <f>SUMIF($D$23:$D$103,$A$300&amp;" - "&amp;B300,$F$23:$F$103)</f>
        <v>0</v>
      </c>
      <c r="D300" s="749">
        <f>'Emission Factors'!C224*C300</f>
        <v>0</v>
      </c>
      <c r="E300" s="755">
        <f>'Emission Factors'!D224*C300</f>
        <v>0</v>
      </c>
      <c r="F300" s="4"/>
      <c r="G300" s="162"/>
      <c r="H300" s="183"/>
      <c r="I300" s="162"/>
      <c r="J300" s="227"/>
      <c r="K300" s="227"/>
      <c r="L300" s="162"/>
      <c r="M300" s="162"/>
      <c r="N300" s="162"/>
      <c r="O300" s="162"/>
      <c r="P300" s="162"/>
      <c r="Q300" s="162"/>
      <c r="R300" s="162"/>
      <c r="S300" s="162"/>
      <c r="T300" s="162"/>
      <c r="U300" s="162"/>
      <c r="V300" s="162"/>
      <c r="W300" s="162"/>
      <c r="X300" s="162"/>
      <c r="Y300" s="162"/>
      <c r="Z300" s="162"/>
      <c r="AA300" s="162"/>
      <c r="AB300" s="162"/>
      <c r="AC300" s="162"/>
      <c r="AD300" s="162"/>
    </row>
    <row r="301" spans="1:30">
      <c r="A301" s="1201"/>
      <c r="B301" s="664" t="s">
        <v>1200</v>
      </c>
      <c r="C301" s="744">
        <f>SUMIF($D$23:$D$103,$A$300&amp;" - "&amp;B301,$F$23:$F$103)</f>
        <v>0</v>
      </c>
      <c r="D301" s="744">
        <f>'Emission Factors'!C225*C301</f>
        <v>0</v>
      </c>
      <c r="E301" s="753">
        <f>'Emission Factors'!D225*C301</f>
        <v>0</v>
      </c>
      <c r="F301" s="4"/>
      <c r="G301" s="162"/>
      <c r="H301" s="183"/>
      <c r="I301" s="162"/>
      <c r="J301" s="227"/>
      <c r="K301" s="227"/>
      <c r="L301" s="162"/>
      <c r="M301" s="162"/>
      <c r="N301" s="162"/>
      <c r="O301" s="162"/>
      <c r="P301" s="162"/>
      <c r="Q301" s="162"/>
      <c r="R301" s="162"/>
      <c r="S301" s="162"/>
      <c r="T301" s="162"/>
      <c r="U301" s="162"/>
      <c r="V301" s="162"/>
      <c r="W301" s="162"/>
      <c r="X301" s="162"/>
      <c r="Y301" s="162"/>
      <c r="Z301" s="162"/>
      <c r="AA301" s="162"/>
      <c r="AB301" s="162"/>
      <c r="AC301" s="162"/>
      <c r="AD301" s="162"/>
    </row>
    <row r="302" spans="1:30" ht="13.5" thickBot="1">
      <c r="A302" s="1201"/>
      <c r="B302" s="732" t="s">
        <v>1027</v>
      </c>
      <c r="C302" s="745">
        <f>SUMIF($D$23:$D$103,$A$300&amp;" - "&amp;B302,$F$23:$F$103)</f>
        <v>0</v>
      </c>
      <c r="D302" s="745">
        <f>'Emission Factors'!C226*C302</f>
        <v>0</v>
      </c>
      <c r="E302" s="760">
        <f>'Emission Factors'!D226*C302</f>
        <v>0</v>
      </c>
      <c r="F302" s="4"/>
      <c r="G302" s="162"/>
      <c r="H302" s="183"/>
      <c r="I302" s="162"/>
      <c r="J302" s="227"/>
      <c r="K302" s="227"/>
      <c r="L302" s="162"/>
      <c r="M302" s="162"/>
      <c r="N302" s="162"/>
      <c r="O302" s="162"/>
      <c r="P302" s="162"/>
      <c r="Q302" s="162"/>
      <c r="R302" s="162"/>
      <c r="S302" s="162"/>
      <c r="T302" s="162"/>
      <c r="U302" s="162"/>
      <c r="V302" s="162"/>
      <c r="W302" s="162"/>
      <c r="X302" s="162"/>
      <c r="Y302" s="162"/>
      <c r="Z302" s="162"/>
      <c r="AA302" s="162"/>
      <c r="AB302" s="162"/>
      <c r="AC302" s="162"/>
      <c r="AD302" s="162"/>
    </row>
    <row r="303" spans="1:30">
      <c r="A303" s="1200" t="s">
        <v>1205</v>
      </c>
      <c r="B303" s="750" t="s">
        <v>1043</v>
      </c>
      <c r="C303" s="751">
        <f>SUMIF($D$23:$D$103,$A$303&amp;" - "&amp;B303,$F$23:$F$103)</f>
        <v>0</v>
      </c>
      <c r="D303" s="751">
        <f>'Emission Factors'!C227*C303</f>
        <v>0</v>
      </c>
      <c r="E303" s="752">
        <f>'Emission Factors'!D227*C303</f>
        <v>0</v>
      </c>
      <c r="F303" s="4"/>
      <c r="G303" s="162"/>
      <c r="H303" s="183"/>
      <c r="I303" s="162"/>
      <c r="J303" s="227"/>
      <c r="K303" s="227"/>
      <c r="L303" s="162"/>
      <c r="M303" s="162"/>
      <c r="N303" s="162"/>
      <c r="O303" s="162"/>
      <c r="P303" s="162"/>
      <c r="Q303" s="162"/>
      <c r="R303" s="162"/>
      <c r="S303" s="162"/>
      <c r="T303" s="162"/>
      <c r="U303" s="162"/>
      <c r="V303" s="162"/>
      <c r="W303" s="162"/>
      <c r="X303" s="162"/>
      <c r="Y303" s="162"/>
      <c r="Z303" s="162"/>
      <c r="AA303" s="162"/>
      <c r="AB303" s="162"/>
      <c r="AC303" s="162"/>
      <c r="AD303" s="162"/>
    </row>
    <row r="304" spans="1:30">
      <c r="A304" s="1201"/>
      <c r="B304" s="664" t="s">
        <v>1027</v>
      </c>
      <c r="C304" s="744">
        <f>SUMIF($D$23:$D$103,$A$303&amp;" - "&amp;B304,$F$23:$F$103)</f>
        <v>0</v>
      </c>
      <c r="D304" s="744">
        <f>'Emission Factors'!C228*C304</f>
        <v>0</v>
      </c>
      <c r="E304" s="753">
        <f>'Emission Factors'!D228*C304</f>
        <v>0</v>
      </c>
      <c r="F304" s="4"/>
      <c r="G304" s="162"/>
      <c r="H304" s="183"/>
      <c r="I304" s="162"/>
      <c r="J304" s="227"/>
      <c r="K304" s="227"/>
      <c r="L304" s="162"/>
      <c r="M304" s="162"/>
      <c r="N304" s="162"/>
      <c r="O304" s="162"/>
      <c r="P304" s="162"/>
      <c r="Q304" s="162"/>
      <c r="R304" s="162"/>
      <c r="S304" s="162"/>
      <c r="T304" s="162"/>
      <c r="U304" s="162"/>
      <c r="V304" s="162"/>
      <c r="W304" s="162"/>
      <c r="X304" s="162"/>
      <c r="Y304" s="162"/>
      <c r="Z304" s="162"/>
      <c r="AA304" s="162"/>
      <c r="AB304" s="162"/>
      <c r="AC304" s="162"/>
      <c r="AD304" s="162"/>
    </row>
    <row r="305" spans="1:30" ht="13.5" thickBot="1">
      <c r="A305" s="1202"/>
      <c r="B305" s="670" t="s">
        <v>1034</v>
      </c>
      <c r="C305" s="747">
        <f>SUMIF($D$23:$D$103,$A$303&amp;" - "&amp;B305,$F$23:$F$103)</f>
        <v>0</v>
      </c>
      <c r="D305" s="747">
        <f>'Emission Factors'!C229*C305</f>
        <v>0</v>
      </c>
      <c r="E305" s="754">
        <f>'Emission Factors'!D229*C305</f>
        <v>0</v>
      </c>
      <c r="F305" s="4"/>
      <c r="G305" s="162"/>
      <c r="H305" s="183"/>
      <c r="I305" s="162"/>
      <c r="J305" s="227"/>
      <c r="K305" s="227"/>
      <c r="L305" s="162"/>
      <c r="M305" s="162"/>
      <c r="N305" s="162"/>
      <c r="O305" s="162"/>
      <c r="P305" s="162"/>
      <c r="Q305" s="162"/>
      <c r="R305" s="162"/>
      <c r="S305" s="162"/>
      <c r="T305" s="162"/>
      <c r="U305" s="162"/>
      <c r="V305" s="162"/>
      <c r="W305" s="162"/>
      <c r="X305" s="162"/>
      <c r="Y305" s="162"/>
      <c r="Z305" s="162"/>
      <c r="AA305" s="162"/>
      <c r="AB305" s="162"/>
      <c r="AC305" s="162"/>
      <c r="AD305" s="162"/>
    </row>
    <row r="306" spans="1:30">
      <c r="A306" s="1201" t="s">
        <v>1206</v>
      </c>
      <c r="B306" s="748" t="s">
        <v>1199</v>
      </c>
      <c r="C306" s="749">
        <f>SUMIF($D$23:$D$103,$A$306&amp;" - "&amp;B306,$F$23:$F$103)</f>
        <v>0</v>
      </c>
      <c r="D306" s="749">
        <f>'Emission Factors'!C230*C306</f>
        <v>0</v>
      </c>
      <c r="E306" s="755">
        <f>'Emission Factors'!D230*C306</f>
        <v>0</v>
      </c>
      <c r="F306" s="4"/>
      <c r="G306" s="162"/>
      <c r="H306" s="183"/>
      <c r="I306" s="162"/>
      <c r="J306" s="227"/>
      <c r="K306" s="227"/>
      <c r="L306" s="162"/>
      <c r="M306" s="162"/>
      <c r="N306" s="162"/>
      <c r="O306" s="162"/>
      <c r="P306" s="162"/>
      <c r="Q306" s="162"/>
      <c r="R306" s="162"/>
      <c r="S306" s="162"/>
      <c r="T306" s="162"/>
      <c r="U306" s="162"/>
      <c r="V306" s="162"/>
      <c r="W306" s="162"/>
      <c r="X306" s="162"/>
      <c r="Y306" s="162"/>
      <c r="Z306" s="162"/>
      <c r="AA306" s="162"/>
      <c r="AB306" s="162"/>
      <c r="AC306" s="162"/>
      <c r="AD306" s="162"/>
    </row>
    <row r="307" spans="1:30">
      <c r="A307" s="1201"/>
      <c r="B307" s="664" t="s">
        <v>1200</v>
      </c>
      <c r="C307" s="744">
        <f>SUMIF($D$23:$D$103,$A$306&amp;" - "&amp;B307,$F$23:$F$103)</f>
        <v>0</v>
      </c>
      <c r="D307" s="744">
        <f>'Emission Factors'!C231*C307</f>
        <v>0</v>
      </c>
      <c r="E307" s="753">
        <f>'Emission Factors'!D231*C307</f>
        <v>0</v>
      </c>
      <c r="F307" s="4"/>
      <c r="G307" s="162"/>
      <c r="H307" s="183"/>
      <c r="I307" s="162"/>
      <c r="J307" s="227"/>
      <c r="K307" s="227"/>
      <c r="L307" s="162"/>
      <c r="M307" s="162"/>
      <c r="N307" s="162"/>
      <c r="O307" s="162"/>
      <c r="P307" s="162"/>
      <c r="Q307" s="162"/>
      <c r="R307" s="162"/>
      <c r="S307" s="162"/>
      <c r="T307" s="162"/>
      <c r="U307" s="162"/>
      <c r="V307" s="162"/>
      <c r="W307" s="162"/>
      <c r="X307" s="162"/>
      <c r="Y307" s="162"/>
      <c r="Z307" s="162"/>
      <c r="AA307" s="162"/>
      <c r="AB307" s="162"/>
      <c r="AC307" s="162"/>
      <c r="AD307" s="162"/>
    </row>
    <row r="308" spans="1:30">
      <c r="A308" s="1201"/>
      <c r="B308" s="664" t="s">
        <v>1027</v>
      </c>
      <c r="C308" s="744">
        <f>SUMIF($D$23:$D$103,$A$306&amp;" - "&amp;B308,$F$23:$F$103)</f>
        <v>0</v>
      </c>
      <c r="D308" s="744">
        <f>'Emission Factors'!C232*C308</f>
        <v>0</v>
      </c>
      <c r="E308" s="753">
        <f>'Emission Factors'!D232*C308</f>
        <v>0</v>
      </c>
      <c r="F308" s="4"/>
      <c r="G308" s="162"/>
      <c r="H308" s="183"/>
      <c r="I308" s="162"/>
      <c r="J308" s="227"/>
      <c r="K308" s="227"/>
      <c r="L308" s="162"/>
      <c r="M308" s="162"/>
      <c r="N308" s="162"/>
      <c r="O308" s="162"/>
      <c r="P308" s="162"/>
      <c r="Q308" s="162"/>
      <c r="R308" s="162"/>
      <c r="S308" s="162"/>
      <c r="T308" s="162"/>
      <c r="U308" s="162"/>
      <c r="V308" s="162"/>
      <c r="W308" s="162"/>
      <c r="X308" s="162"/>
      <c r="Y308" s="162"/>
      <c r="Z308" s="162"/>
      <c r="AA308" s="162"/>
      <c r="AB308" s="162"/>
      <c r="AC308" s="162"/>
      <c r="AD308" s="162"/>
    </row>
    <row r="309" spans="1:30" ht="13.5" thickBot="1">
      <c r="A309" s="1202"/>
      <c r="B309" s="670" t="s">
        <v>1034</v>
      </c>
      <c r="C309" s="747">
        <f>SUMIF($D$23:$D$103,$A$306&amp;" - "&amp;B309,$F$23:$F$103)</f>
        <v>0</v>
      </c>
      <c r="D309" s="747">
        <f>'Emission Factors'!C233*C309</f>
        <v>0</v>
      </c>
      <c r="E309" s="754">
        <f>'Emission Factors'!D233*C309</f>
        <v>0</v>
      </c>
      <c r="F309" s="4"/>
      <c r="G309" s="162"/>
      <c r="H309" s="183"/>
      <c r="I309" s="162"/>
      <c r="J309" s="227"/>
      <c r="K309" s="227"/>
      <c r="L309" s="162"/>
      <c r="M309" s="162"/>
      <c r="N309" s="162"/>
      <c r="O309" s="162"/>
      <c r="P309" s="162"/>
      <c r="Q309" s="162"/>
      <c r="R309" s="162"/>
      <c r="S309" s="162"/>
      <c r="T309" s="162"/>
      <c r="U309" s="162"/>
      <c r="V309" s="162"/>
      <c r="W309" s="162"/>
      <c r="X309" s="162"/>
      <c r="Y309" s="162"/>
      <c r="Z309" s="162"/>
      <c r="AA309" s="162"/>
      <c r="AB309" s="162"/>
      <c r="AC309" s="162"/>
      <c r="AD309" s="162"/>
    </row>
    <row r="310" spans="1:30">
      <c r="A310" s="62"/>
      <c r="B310" s="62"/>
      <c r="C310" s="62"/>
      <c r="D310" s="63"/>
      <c r="E310" s="132"/>
      <c r="F310" s="4"/>
      <c r="G310" s="162"/>
      <c r="H310" s="183"/>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row>
    <row r="311" spans="1:30" ht="13.5" thickBot="1">
      <c r="A311" s="4"/>
      <c r="B311" s="4"/>
      <c r="C311" s="4"/>
      <c r="D311" s="4"/>
      <c r="E311" s="4"/>
      <c r="F311" s="4"/>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row>
    <row r="312" spans="1:30">
      <c r="A312" s="21"/>
      <c r="B312" s="42"/>
      <c r="C312" s="42"/>
      <c r="D312" s="22"/>
      <c r="E312" s="31"/>
      <c r="F312" s="4"/>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row>
    <row r="313" spans="1:30" ht="15" thickBot="1">
      <c r="A313" s="24" t="s">
        <v>1311</v>
      </c>
      <c r="B313" s="43"/>
      <c r="C313" s="43"/>
      <c r="D313" s="25"/>
      <c r="E313" s="158">
        <f>((SUM($F$120:$F$129))+(SUM($E$133:$E$229)+SUM($E$233:$E$266)+SUM($D$270:$D$309))*CH4_GWP/1000+(SUM($F$133:$F$229)+SUM($F$233:$F$266)+SUM($E$270:$E$309))*N2O_GWP/1000)/1000</f>
        <v>78.461364998999997</v>
      </c>
      <c r="F313" s="195"/>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row>
    <row r="314" spans="1:30">
      <c r="A314" s="32"/>
      <c r="B314" s="40"/>
      <c r="C314" s="40"/>
      <c r="D314" s="33"/>
      <c r="E314" s="159"/>
      <c r="F314" s="195"/>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row>
    <row r="315" spans="1:30" ht="15" thickBot="1">
      <c r="A315" s="34" t="s">
        <v>1310</v>
      </c>
      <c r="B315" s="41"/>
      <c r="C315" s="41"/>
      <c r="D315" s="35"/>
      <c r="E315" s="160">
        <f>((Mobile_Ethanol_CO2fctr*$D$16/100*$D$126)+(Mobile_Biodiesel_CO2fctr*$D$15/100*$D$127))/1000</f>
        <v>0.39689999999999998</v>
      </c>
      <c r="F315" s="195"/>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row>
    <row r="316" spans="1:30">
      <c r="A316" s="4"/>
      <c r="B316" s="4"/>
      <c r="C316" s="4"/>
      <c r="D316" s="4"/>
      <c r="E316" s="4"/>
      <c r="F316" s="4"/>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row>
    <row r="317" spans="1:30">
      <c r="A317" s="4"/>
      <c r="B317" s="4"/>
      <c r="C317" s="4"/>
      <c r="D317" s="162"/>
      <c r="E317" s="4"/>
      <c r="F317" s="4"/>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row>
    <row r="318" spans="1:30">
      <c r="A318" s="4"/>
      <c r="B318" s="4"/>
      <c r="C318" s="4"/>
      <c r="D318" s="162"/>
      <c r="E318" s="4"/>
      <c r="F318" s="4"/>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row>
    <row r="319" spans="1:30">
      <c r="A319" s="4"/>
      <c r="B319" s="4"/>
      <c r="C319" s="4"/>
      <c r="D319" s="4"/>
      <c r="E319" s="4"/>
      <c r="F319" s="4"/>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row>
    <row r="320" spans="1:30">
      <c r="A320" s="4"/>
      <c r="B320" s="4"/>
      <c r="C320" s="4"/>
      <c r="D320" s="4"/>
      <c r="E320" s="4"/>
      <c r="F320" s="4"/>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row>
    <row r="321" spans="1:30">
      <c r="A321" s="4"/>
      <c r="B321" s="4"/>
      <c r="C321" s="4"/>
      <c r="D321" s="4"/>
      <c r="E321" s="4"/>
      <c r="F321" s="4"/>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row>
    <row r="322" spans="1:30">
      <c r="A322" s="4"/>
      <c r="B322" s="4"/>
      <c r="C322" s="4"/>
      <c r="D322" s="4"/>
      <c r="E322" s="4"/>
      <c r="F322" s="4"/>
      <c r="G322" s="4"/>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row>
    <row r="323" spans="1:30">
      <c r="A323" s="4"/>
      <c r="B323" s="4"/>
      <c r="C323" s="4"/>
      <c r="D323" s="4"/>
      <c r="E323" s="4"/>
      <c r="F323" s="4"/>
      <c r="G323" s="4"/>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row>
    <row r="324" spans="1:30">
      <c r="A324" s="4"/>
      <c r="B324" s="4"/>
      <c r="C324" s="4"/>
      <c r="D324" s="4"/>
      <c r="E324" s="4"/>
      <c r="F324" s="4"/>
      <c r="G324" s="4"/>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row>
    <row r="325" spans="1:30">
      <c r="A325" s="4"/>
      <c r="B325" s="4"/>
      <c r="C325" s="4"/>
      <c r="D325" s="4"/>
      <c r="E325" s="4"/>
      <c r="F325" s="4"/>
      <c r="G325" s="4"/>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row>
    <row r="326" spans="1:30">
      <c r="A326" s="4"/>
      <c r="B326" s="4"/>
      <c r="C326" s="4"/>
      <c r="D326" s="4"/>
      <c r="E326" s="4"/>
      <c r="F326" s="4"/>
      <c r="G326" s="4"/>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row>
    <row r="327" spans="1:30">
      <c r="A327" s="4"/>
      <c r="B327" s="4"/>
      <c r="C327" s="4"/>
      <c r="D327" s="4"/>
      <c r="E327" s="4"/>
      <c r="F327" s="4"/>
      <c r="G327" s="4"/>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row>
    <row r="328" spans="1:30">
      <c r="A328" s="4"/>
      <c r="B328" s="4"/>
      <c r="C328" s="4"/>
      <c r="D328" s="4"/>
      <c r="E328" s="4"/>
      <c r="F328" s="4"/>
      <c r="G328" s="4"/>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row>
    <row r="329" spans="1:30">
      <c r="A329" s="4"/>
      <c r="B329" s="4"/>
      <c r="C329" s="4"/>
      <c r="D329" s="4"/>
      <c r="E329" s="4"/>
      <c r="F329" s="4"/>
      <c r="G329" s="4"/>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row>
    <row r="330" spans="1:30">
      <c r="A330" s="4"/>
      <c r="B330" s="4"/>
      <c r="C330" s="4"/>
      <c r="D330" s="4"/>
      <c r="E330" s="4"/>
      <c r="F330" s="4"/>
      <c r="G330" s="4"/>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row>
    <row r="331" spans="1:30">
      <c r="A331" s="4"/>
      <c r="B331" s="4"/>
      <c r="C331" s="4"/>
      <c r="D331" s="4"/>
      <c r="E331" s="4"/>
      <c r="F331" s="4"/>
      <c r="G331" s="4"/>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row>
    <row r="332" spans="1:30">
      <c r="A332" s="4"/>
      <c r="B332" s="4"/>
      <c r="C332" s="4"/>
      <c r="D332" s="4"/>
      <c r="E332" s="4"/>
      <c r="F332" s="4"/>
      <c r="G332" s="4"/>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row>
    <row r="333" spans="1:30">
      <c r="A333" s="4"/>
      <c r="B333" s="4"/>
      <c r="C333" s="4"/>
      <c r="D333" s="4"/>
      <c r="E333" s="4"/>
      <c r="F333" s="4"/>
      <c r="G333" s="4"/>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row>
    <row r="334" spans="1:30">
      <c r="A334" s="4"/>
      <c r="B334" s="4"/>
      <c r="C334" s="4"/>
      <c r="D334" s="4"/>
      <c r="E334" s="4"/>
      <c r="F334" s="4"/>
      <c r="G334" s="4"/>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row>
    <row r="335" spans="1:30">
      <c r="A335" s="4"/>
      <c r="B335" s="4"/>
      <c r="C335" s="4"/>
      <c r="D335" s="4"/>
      <c r="E335" s="4"/>
      <c r="F335" s="4"/>
      <c r="G335" s="4"/>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row>
    <row r="336" spans="1:30">
      <c r="A336" s="4"/>
      <c r="B336" s="4"/>
      <c r="C336" s="4"/>
      <c r="D336" s="4"/>
      <c r="E336" s="4"/>
      <c r="F336" s="4"/>
      <c r="G336" s="4"/>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row>
    <row r="337" spans="1:30">
      <c r="A337" s="4"/>
      <c r="B337" s="4"/>
      <c r="C337" s="4"/>
      <c r="D337" s="4"/>
      <c r="E337" s="4"/>
      <c r="F337" s="4"/>
      <c r="G337" s="4"/>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row>
    <row r="338" spans="1:30">
      <c r="A338" s="4"/>
      <c r="B338" s="4"/>
      <c r="C338" s="4"/>
      <c r="D338" s="4"/>
      <c r="E338" s="4"/>
      <c r="F338" s="4"/>
      <c r="G338" s="4"/>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row>
    <row r="339" spans="1:30">
      <c r="A339" s="4"/>
      <c r="B339" s="4"/>
      <c r="C339" s="4"/>
      <c r="D339" s="4"/>
      <c r="E339" s="4"/>
      <c r="F339" s="4"/>
      <c r="G339" s="4"/>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row>
    <row r="340" spans="1:30">
      <c r="A340" s="4"/>
      <c r="B340" s="4"/>
      <c r="C340" s="4"/>
      <c r="D340" s="4"/>
      <c r="E340" s="4"/>
      <c r="F340" s="4"/>
      <c r="G340" s="4"/>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row>
    <row r="341" spans="1:30">
      <c r="A341" s="4"/>
      <c r="B341" s="4"/>
      <c r="C341" s="4"/>
      <c r="D341" s="4"/>
      <c r="E341" s="4"/>
      <c r="F341" s="4"/>
      <c r="G341" s="4"/>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row>
    <row r="342" spans="1:30">
      <c r="A342" s="4"/>
      <c r="B342" s="4"/>
      <c r="C342" s="4"/>
      <c r="D342" s="4"/>
      <c r="E342" s="4"/>
      <c r="F342" s="4"/>
      <c r="G342" s="4"/>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row>
    <row r="343" spans="1:30">
      <c r="A343" s="4"/>
      <c r="B343" s="4"/>
      <c r="C343" s="4"/>
      <c r="D343" s="4"/>
      <c r="E343" s="4"/>
      <c r="F343" s="4"/>
      <c r="G343" s="4"/>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row>
    <row r="344" spans="1:30">
      <c r="A344" s="4"/>
      <c r="B344" s="4"/>
      <c r="C344" s="4"/>
      <c r="D344" s="4"/>
      <c r="E344" s="4"/>
      <c r="F344" s="4"/>
      <c r="G344" s="4"/>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row>
    <row r="345" spans="1:30">
      <c r="A345" s="4"/>
      <c r="B345" s="4"/>
      <c r="C345" s="4"/>
      <c r="D345" s="4"/>
      <c r="E345" s="4"/>
      <c r="F345" s="4"/>
      <c r="G345" s="4"/>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row>
    <row r="346" spans="1:30">
      <c r="A346" s="4"/>
      <c r="B346" s="4"/>
      <c r="C346" s="4"/>
      <c r="D346" s="4"/>
      <c r="E346" s="4"/>
      <c r="F346" s="4"/>
      <c r="G346" s="4"/>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row>
    <row r="347" spans="1:30">
      <c r="A347" s="4"/>
      <c r="B347" s="4"/>
      <c r="C347" s="4"/>
      <c r="D347" s="4"/>
      <c r="E347" s="4"/>
      <c r="F347" s="4"/>
      <c r="G347" s="4"/>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row>
    <row r="348" spans="1:30">
      <c r="A348" s="4"/>
      <c r="B348" s="4"/>
      <c r="C348" s="4"/>
      <c r="D348" s="4"/>
      <c r="E348" s="4"/>
      <c r="F348" s="4"/>
      <c r="G348" s="4"/>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row>
    <row r="349" spans="1:30">
      <c r="A349" s="4"/>
      <c r="B349" s="4"/>
      <c r="C349" s="4"/>
      <c r="D349" s="4"/>
      <c r="E349" s="4"/>
      <c r="F349" s="4"/>
      <c r="G349" s="4"/>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row>
    <row r="350" spans="1:30">
      <c r="A350" s="4"/>
      <c r="B350" s="4"/>
      <c r="C350" s="4"/>
      <c r="D350" s="4"/>
      <c r="E350" s="4"/>
      <c r="F350" s="4"/>
      <c r="G350" s="4"/>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row>
    <row r="351" spans="1:30">
      <c r="A351" s="4"/>
      <c r="B351" s="4"/>
      <c r="C351" s="4"/>
      <c r="D351" s="4"/>
      <c r="E351" s="4"/>
      <c r="F351" s="4"/>
      <c r="G351" s="4"/>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row>
    <row r="352" spans="1:30">
      <c r="A352" s="4"/>
      <c r="B352" s="4"/>
      <c r="C352" s="4"/>
      <c r="D352" s="4"/>
      <c r="E352" s="4"/>
      <c r="F352" s="4"/>
      <c r="G352" s="4"/>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row>
    <row r="353" spans="1:30">
      <c r="A353" s="4"/>
      <c r="B353" s="4"/>
      <c r="C353" s="4"/>
      <c r="D353" s="4"/>
      <c r="E353" s="4"/>
      <c r="F353" s="4"/>
      <c r="G353" s="4"/>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row>
    <row r="354" spans="1:30">
      <c r="A354" s="4"/>
      <c r="B354" s="4"/>
      <c r="C354" s="4"/>
      <c r="D354" s="4"/>
      <c r="E354" s="4"/>
      <c r="F354" s="4"/>
      <c r="G354" s="4"/>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row>
    <row r="355" spans="1:30">
      <c r="A355" s="4"/>
      <c r="B355" s="4"/>
      <c r="C355" s="4"/>
      <c r="D355" s="4"/>
      <c r="E355" s="4"/>
      <c r="F355" s="4"/>
      <c r="G355" s="4"/>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row>
    <row r="356" spans="1:30">
      <c r="A356" s="4"/>
      <c r="B356" s="4"/>
      <c r="C356" s="4"/>
      <c r="D356" s="4"/>
      <c r="E356" s="4"/>
      <c r="F356" s="4"/>
      <c r="G356" s="4"/>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row>
    <row r="357" spans="1:30">
      <c r="A357" s="4"/>
      <c r="B357" s="4"/>
      <c r="C357" s="4"/>
      <c r="D357" s="4"/>
      <c r="E357" s="4"/>
      <c r="F357" s="4"/>
      <c r="G357" s="4"/>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row>
    <row r="358" spans="1:30">
      <c r="A358" s="4"/>
      <c r="B358" s="4"/>
      <c r="C358" s="4"/>
      <c r="D358" s="4"/>
      <c r="E358" s="4"/>
      <c r="F358" s="4"/>
      <c r="G358" s="4"/>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row>
    <row r="359" spans="1:30">
      <c r="A359" s="4"/>
      <c r="B359" s="4"/>
      <c r="C359" s="4"/>
      <c r="D359" s="4"/>
      <c r="E359" s="4"/>
      <c r="F359" s="4"/>
      <c r="G359" s="4"/>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row>
    <row r="360" spans="1:30">
      <c r="A360" s="4"/>
      <c r="B360" s="4"/>
      <c r="C360" s="4"/>
      <c r="D360" s="4"/>
      <c r="E360" s="4"/>
      <c r="F360" s="4"/>
      <c r="G360" s="4"/>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row>
    <row r="361" spans="1:30">
      <c r="A361" s="4"/>
      <c r="B361" s="4"/>
      <c r="C361" s="4"/>
      <c r="D361" s="4"/>
      <c r="E361" s="4"/>
      <c r="F361" s="4"/>
      <c r="G361" s="4"/>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row>
    <row r="362" spans="1:30">
      <c r="H362" s="162"/>
      <c r="I362" s="162"/>
    </row>
  </sheetData>
  <autoFilter ref="A20:G103" xr:uid="{4BA0EB1A-FCC1-444B-BAA0-98ABCB24DF69}"/>
  <mergeCells count="35">
    <mergeCell ref="A296:A299"/>
    <mergeCell ref="A300:A302"/>
    <mergeCell ref="A303:A305"/>
    <mergeCell ref="A306:A309"/>
    <mergeCell ref="A283:A288"/>
    <mergeCell ref="A289:A292"/>
    <mergeCell ref="A293:A295"/>
    <mergeCell ref="A10:I10"/>
    <mergeCell ref="A17:G17"/>
    <mergeCell ref="A13:G13"/>
    <mergeCell ref="A6:G6"/>
    <mergeCell ref="A9:I9"/>
    <mergeCell ref="A8:I8"/>
    <mergeCell ref="A7:I7"/>
    <mergeCell ref="D106:E106"/>
    <mergeCell ref="A132:B132"/>
    <mergeCell ref="A118:C119"/>
    <mergeCell ref="A106:C106"/>
    <mergeCell ref="A239:A240"/>
    <mergeCell ref="B239:B240"/>
    <mergeCell ref="D118:D119"/>
    <mergeCell ref="E118:E119"/>
    <mergeCell ref="A233:A235"/>
    <mergeCell ref="B233:B235"/>
    <mergeCell ref="A236:A238"/>
    <mergeCell ref="B236:B238"/>
    <mergeCell ref="A270:A273"/>
    <mergeCell ref="A275:A276"/>
    <mergeCell ref="A277:A282"/>
    <mergeCell ref="C20:C21"/>
    <mergeCell ref="A255:A260"/>
    <mergeCell ref="A261:A266"/>
    <mergeCell ref="A241:A245"/>
    <mergeCell ref="A246:A250"/>
    <mergeCell ref="A251:A254"/>
  </mergeCells>
  <phoneticPr fontId="11" type="noConversion"/>
  <dataValidations count="2">
    <dataValidation errorStyle="information" allowBlank="1" showInputMessage="1" showErrorMessage="1" promptTitle="Enter Date for On-Road Vehicles" prompt="Date only needed for gasoline or diesel on-road vehicles." sqref="E23:E103" xr:uid="{09538778-870F-4363-BC94-176C58B5497C}"/>
    <dataValidation type="list" allowBlank="1" showInputMessage="1" showErrorMessage="1" sqref="D22:D103" xr:uid="{B5B9971C-C81D-4C03-8C94-E7EDBAE13B65}">
      <formula1>INDIRECT(C22)</formula1>
    </dataValidation>
  </dataValidations>
  <pageMargins left="0.25" right="0.25" top="0.25" bottom="0.5" header="0.5" footer="0.25"/>
  <pageSetup scale="93" orientation="portrait" r:id="rId1"/>
  <headerFooter alignWithMargins="0">
    <oddFooter>&amp;L&amp;"Arial,Italic"&amp;9EPA Climate Leaders Simplified GHG Emissions Calculator (Direct 2.0)&amp;R&amp;"Arial,Italic"&amp;9&amp;P of &amp;N</oddFooter>
  </headerFooter>
  <colBreaks count="1" manualBreakCount="1">
    <brk id="7"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D42142-FBAE-4061-9AAF-3845996C7EBB}">
          <x14:formula1>
            <xm:f>DropDown!$D$1:$E$1</xm:f>
          </x14:formula1>
          <xm:sqref>C22:C103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D398"/>
  <sheetViews>
    <sheetView topLeftCell="A185" zoomScale="125" zoomScaleNormal="80" workbookViewId="0">
      <selection activeCell="A167" sqref="A167:A313"/>
    </sheetView>
  </sheetViews>
  <sheetFormatPr defaultColWidth="8.85546875" defaultRowHeight="12.75"/>
  <cols>
    <col min="1" max="1" width="10.85546875" customWidth="1"/>
    <col min="2" max="2" width="24.85546875" customWidth="1"/>
    <col min="3" max="3" width="10.85546875" customWidth="1"/>
    <col min="4" max="4" width="11.140625" customWidth="1"/>
    <col min="5" max="5" width="19.42578125" customWidth="1"/>
    <col min="6" max="6" width="15.85546875" customWidth="1"/>
    <col min="7" max="7" width="10.85546875" customWidth="1"/>
    <col min="8" max="8" width="14.85546875" bestFit="1" customWidth="1"/>
    <col min="9" max="9" width="22" customWidth="1"/>
    <col min="17" max="17" width="20" bestFit="1" customWidth="1"/>
    <col min="18" max="18" width="22" bestFit="1" customWidth="1"/>
    <col min="19" max="19" width="23.42578125" bestFit="1" customWidth="1"/>
    <col min="20" max="20" width="19.85546875" bestFit="1" customWidth="1"/>
    <col min="21" max="21" width="19.42578125" bestFit="1" customWidth="1"/>
    <col min="22" max="22" width="15.85546875" customWidth="1"/>
    <col min="23" max="23" width="24.85546875" bestFit="1" customWidth="1"/>
    <col min="24" max="24" width="12.42578125" bestFit="1" customWidth="1"/>
    <col min="25" max="25" width="23.42578125" bestFit="1" customWidth="1"/>
  </cols>
  <sheetData>
    <row r="1" spans="1:30"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row>
    <row r="2" spans="1:30"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row>
    <row r="3" spans="1:30" ht="15">
      <c r="A3" s="5" t="s">
        <v>799</v>
      </c>
      <c r="B3" s="4"/>
      <c r="C3" s="4"/>
      <c r="D3" s="4"/>
      <c r="E3" s="4"/>
      <c r="F3" s="4"/>
      <c r="G3" s="4"/>
      <c r="H3" s="162"/>
      <c r="I3" s="162"/>
      <c r="J3" s="162"/>
      <c r="K3" s="162"/>
      <c r="L3" s="162"/>
      <c r="M3" s="162"/>
      <c r="N3" s="162"/>
      <c r="O3" s="162"/>
      <c r="P3" s="162"/>
      <c r="Q3" s="162"/>
      <c r="R3" s="162"/>
      <c r="S3" s="162"/>
      <c r="T3" s="162"/>
      <c r="U3" s="162"/>
      <c r="V3" s="162"/>
      <c r="W3" s="162"/>
      <c r="X3" s="162"/>
      <c r="Y3" s="162"/>
      <c r="Z3" s="162"/>
      <c r="AA3" s="162"/>
      <c r="AB3" s="162"/>
      <c r="AC3" s="162"/>
      <c r="AD3" s="162"/>
    </row>
    <row r="4" spans="1:30">
      <c r="A4" s="4"/>
      <c r="B4" s="4"/>
      <c r="C4" s="4"/>
      <c r="D4" s="4"/>
      <c r="E4" s="4"/>
      <c r="F4" s="4"/>
      <c r="G4" s="4"/>
      <c r="H4" s="162"/>
      <c r="I4" s="162"/>
      <c r="J4" s="162"/>
      <c r="K4" s="162"/>
      <c r="L4" s="162"/>
      <c r="M4" s="162"/>
      <c r="N4" s="162"/>
      <c r="O4" s="162"/>
      <c r="P4" s="162"/>
      <c r="Q4" s="162"/>
      <c r="R4" s="162"/>
      <c r="S4" s="162"/>
      <c r="T4" s="162"/>
      <c r="U4" s="162"/>
      <c r="V4" s="162"/>
      <c r="W4" s="162"/>
      <c r="X4" s="162"/>
      <c r="Y4" s="162"/>
      <c r="Z4" s="162"/>
      <c r="AA4" s="162"/>
      <c r="AB4" s="162"/>
      <c r="AC4" s="162"/>
      <c r="AD4" s="162"/>
    </row>
    <row r="5" spans="1:30">
      <c r="A5" s="7" t="s">
        <v>293</v>
      </c>
      <c r="B5" s="4"/>
      <c r="C5" s="4"/>
      <c r="D5" s="4"/>
      <c r="E5" s="4"/>
      <c r="F5" s="4"/>
      <c r="G5" s="4"/>
      <c r="H5" s="162"/>
      <c r="I5" s="162"/>
      <c r="J5" s="162"/>
      <c r="K5" s="162"/>
      <c r="L5" s="162"/>
      <c r="M5" s="162"/>
      <c r="N5" s="162"/>
      <c r="O5" s="162"/>
      <c r="P5" s="162"/>
      <c r="Q5" s="162"/>
      <c r="R5" s="162"/>
      <c r="S5" s="162"/>
      <c r="T5" s="162"/>
      <c r="U5" s="162"/>
      <c r="V5" s="162"/>
      <c r="W5" s="162"/>
      <c r="X5" s="162"/>
      <c r="Y5" s="162"/>
      <c r="Z5" s="162"/>
      <c r="AA5" s="162"/>
      <c r="AB5" s="162"/>
      <c r="AC5" s="162"/>
      <c r="AD5" s="162"/>
    </row>
    <row r="6" spans="1:30" ht="44.25" customHeight="1">
      <c r="A6" s="1189" t="s">
        <v>599</v>
      </c>
      <c r="B6" s="1189"/>
      <c r="C6" s="1189"/>
      <c r="D6" s="1189"/>
      <c r="E6" s="1189"/>
      <c r="F6" s="1189"/>
      <c r="G6" s="1189"/>
      <c r="H6" s="1189"/>
      <c r="I6" s="162"/>
      <c r="J6" s="162"/>
      <c r="K6" s="162"/>
      <c r="L6" s="162"/>
      <c r="M6" s="162"/>
      <c r="N6" s="162"/>
      <c r="O6" s="162"/>
      <c r="P6" s="162"/>
      <c r="Q6" s="162"/>
      <c r="R6" s="162"/>
      <c r="S6" s="162"/>
      <c r="T6" s="162"/>
      <c r="U6" s="162"/>
      <c r="V6" s="162"/>
      <c r="W6" s="162"/>
      <c r="X6" s="162"/>
      <c r="Y6" s="162"/>
      <c r="Z6" s="162"/>
      <c r="AA6" s="162"/>
      <c r="AB6" s="162"/>
      <c r="AC6" s="162"/>
      <c r="AD6" s="162"/>
    </row>
    <row r="7" spans="1:30" ht="51" customHeight="1">
      <c r="A7" s="1189" t="s">
        <v>839</v>
      </c>
      <c r="B7" s="1189"/>
      <c r="C7" s="1189"/>
      <c r="D7" s="1189"/>
      <c r="E7" s="1189"/>
      <c r="F7" s="1189"/>
      <c r="G7" s="1189"/>
      <c r="H7" s="1189"/>
      <c r="I7" s="183"/>
      <c r="J7" s="162"/>
      <c r="K7" s="162"/>
      <c r="L7" s="162"/>
      <c r="M7" s="162"/>
      <c r="N7" s="162"/>
      <c r="O7" s="162"/>
      <c r="P7" s="162"/>
      <c r="Q7" s="162"/>
      <c r="R7" s="162"/>
      <c r="S7" s="162"/>
      <c r="T7" s="162"/>
      <c r="U7" s="162"/>
      <c r="V7" s="162"/>
      <c r="W7" s="162"/>
      <c r="X7" s="162"/>
      <c r="Y7" s="162"/>
      <c r="Z7" s="162"/>
      <c r="AA7" s="162"/>
      <c r="AB7" s="162"/>
      <c r="AC7" s="162"/>
      <c r="AD7" s="162"/>
    </row>
    <row r="8" spans="1:30" ht="15.75" customHeight="1">
      <c r="A8" s="68" t="s">
        <v>684</v>
      </c>
      <c r="B8" s="4"/>
      <c r="C8" s="4"/>
      <c r="D8" s="4"/>
      <c r="E8" s="4"/>
      <c r="F8" s="4"/>
      <c r="G8" s="4"/>
      <c r="H8" s="4"/>
      <c r="I8" s="183"/>
      <c r="J8" s="162"/>
      <c r="K8" s="162"/>
      <c r="L8" s="162"/>
      <c r="M8" s="162"/>
      <c r="N8" s="162"/>
      <c r="O8" s="162"/>
      <c r="P8" s="162"/>
      <c r="Q8" s="162"/>
      <c r="R8" s="162"/>
      <c r="S8" s="162"/>
      <c r="T8" s="162"/>
      <c r="U8" s="162"/>
      <c r="V8" s="162"/>
      <c r="W8" s="162"/>
      <c r="X8" s="162"/>
      <c r="Y8" s="162"/>
      <c r="Z8" s="162"/>
      <c r="AA8" s="162"/>
      <c r="AB8" s="162"/>
      <c r="AC8" s="162"/>
      <c r="AD8" s="162"/>
    </row>
    <row r="9" spans="1:30" s="3" customFormat="1">
      <c r="A9" s="68"/>
      <c r="B9" s="8"/>
      <c r="C9" s="8"/>
      <c r="D9" s="8"/>
      <c r="E9" s="8"/>
      <c r="F9" s="8"/>
      <c r="G9" s="8"/>
      <c r="H9" s="8"/>
      <c r="I9" s="183"/>
      <c r="J9" s="183"/>
      <c r="K9" s="183"/>
      <c r="L9" s="183"/>
      <c r="M9" s="183"/>
      <c r="N9" s="183"/>
      <c r="O9" s="183"/>
      <c r="P9" s="183"/>
      <c r="Q9" s="183"/>
      <c r="R9" s="183"/>
      <c r="S9" s="183"/>
      <c r="T9" s="183"/>
      <c r="U9" s="183"/>
      <c r="V9" s="183"/>
      <c r="W9" s="183"/>
      <c r="X9" s="183"/>
      <c r="Y9" s="183"/>
      <c r="Z9" s="183"/>
      <c r="AA9" s="183"/>
      <c r="AB9" s="183"/>
      <c r="AC9" s="183"/>
      <c r="AD9" s="183"/>
    </row>
    <row r="10" spans="1:30" s="3" customFormat="1">
      <c r="A10" s="7" t="s">
        <v>992</v>
      </c>
      <c r="B10" s="4"/>
      <c r="C10" s="4"/>
      <c r="D10" s="8"/>
      <c r="E10" s="8"/>
      <c r="F10" s="8"/>
      <c r="G10" s="8"/>
      <c r="H10" s="8"/>
      <c r="I10" s="183"/>
      <c r="J10" s="183"/>
      <c r="K10" s="183"/>
      <c r="L10" s="183"/>
      <c r="M10" s="183"/>
      <c r="N10" s="183"/>
      <c r="O10" s="183"/>
      <c r="P10" s="183"/>
      <c r="Q10" s="183"/>
      <c r="R10" s="183"/>
      <c r="S10" s="183"/>
      <c r="T10" s="183"/>
      <c r="U10" s="183"/>
      <c r="V10" s="183"/>
      <c r="W10" s="183"/>
      <c r="X10" s="183"/>
      <c r="Y10" s="183"/>
      <c r="Z10" s="183"/>
      <c r="AA10" s="183"/>
      <c r="AB10" s="183"/>
      <c r="AC10" s="183"/>
      <c r="AD10" s="183"/>
    </row>
    <row r="11" spans="1:30">
      <c r="A11" s="765" t="s">
        <v>1243</v>
      </c>
      <c r="B11" s="8"/>
      <c r="C11" s="8"/>
      <c r="D11" s="4"/>
      <c r="E11" s="4"/>
      <c r="F11" s="4"/>
      <c r="G11" s="4"/>
      <c r="H11" s="4"/>
      <c r="I11" s="162"/>
      <c r="J11" s="162"/>
      <c r="K11" s="162"/>
      <c r="L11" s="162"/>
      <c r="M11" s="162"/>
      <c r="N11" s="162"/>
      <c r="O11" s="162"/>
      <c r="P11" s="162"/>
      <c r="Q11" s="162"/>
      <c r="R11" s="162"/>
      <c r="S11" s="162"/>
      <c r="T11" s="162"/>
      <c r="U11" s="162"/>
      <c r="V11" s="162"/>
      <c r="W11" s="162"/>
      <c r="X11" s="162"/>
      <c r="Y11" s="162"/>
      <c r="Z11" s="162"/>
      <c r="AA11" s="162"/>
      <c r="AB11" s="162"/>
      <c r="AC11" s="162"/>
      <c r="AD11" s="162"/>
    </row>
    <row r="12" spans="1:30">
      <c r="A12" s="68" t="s">
        <v>21</v>
      </c>
      <c r="B12" s="8"/>
      <c r="C12" s="8"/>
      <c r="D12" s="4"/>
      <c r="E12" s="4"/>
      <c r="F12" s="4"/>
      <c r="G12" s="4"/>
      <c r="H12" s="4"/>
      <c r="I12" s="162"/>
      <c r="J12" s="162"/>
      <c r="K12" s="162"/>
      <c r="L12" s="162"/>
      <c r="M12" s="162"/>
      <c r="N12" s="162"/>
      <c r="O12" s="162"/>
      <c r="P12" s="162"/>
      <c r="Q12" s="162"/>
      <c r="R12" s="162"/>
      <c r="S12" s="162"/>
      <c r="T12" s="162"/>
      <c r="U12" s="162"/>
      <c r="V12" s="162"/>
      <c r="W12" s="162"/>
      <c r="X12" s="162"/>
      <c r="Y12" s="162"/>
      <c r="Z12" s="162"/>
      <c r="AA12" s="162"/>
      <c r="AB12" s="162"/>
      <c r="AC12" s="162"/>
      <c r="AD12" s="162"/>
    </row>
    <row r="13" spans="1:30">
      <c r="A13" s="68" t="s">
        <v>23</v>
      </c>
      <c r="B13" s="8"/>
      <c r="C13" s="8"/>
      <c r="D13" s="4"/>
      <c r="E13" s="4"/>
      <c r="F13" s="4"/>
      <c r="G13" s="4"/>
      <c r="H13" s="4"/>
      <c r="I13" s="162"/>
      <c r="J13" s="162"/>
      <c r="K13" s="162"/>
      <c r="L13" s="162"/>
      <c r="M13" s="162"/>
      <c r="N13" s="162"/>
      <c r="O13" s="162"/>
      <c r="P13" s="162"/>
      <c r="Q13" s="162"/>
      <c r="R13" s="162"/>
      <c r="S13" s="162"/>
      <c r="T13" s="162"/>
      <c r="U13" s="162"/>
      <c r="V13" s="162"/>
      <c r="W13" s="162"/>
      <c r="X13" s="162"/>
      <c r="Y13" s="162"/>
      <c r="Z13" s="162"/>
      <c r="AA13" s="162"/>
      <c r="AB13" s="162"/>
      <c r="AC13" s="162"/>
      <c r="AD13" s="162"/>
    </row>
    <row r="14" spans="1:30">
      <c r="A14" s="68" t="s">
        <v>22</v>
      </c>
      <c r="B14" s="8"/>
      <c r="C14" s="8"/>
      <c r="D14" s="4"/>
      <c r="E14" s="4"/>
      <c r="F14" s="4"/>
      <c r="G14" s="4"/>
      <c r="H14" s="4"/>
      <c r="I14" s="162"/>
      <c r="J14" s="162"/>
      <c r="K14" s="162"/>
      <c r="L14" s="162"/>
      <c r="M14" s="162"/>
      <c r="N14" s="162"/>
      <c r="O14" s="162"/>
      <c r="P14" s="162"/>
      <c r="Q14" s="162"/>
      <c r="R14" s="162"/>
      <c r="S14" s="162"/>
      <c r="T14" s="162"/>
      <c r="U14" s="162"/>
      <c r="V14" s="162"/>
      <c r="W14" s="162"/>
      <c r="X14" s="162"/>
      <c r="Y14" s="162"/>
      <c r="Z14" s="162"/>
      <c r="AA14" s="162"/>
      <c r="AB14" s="162"/>
      <c r="AC14" s="162"/>
      <c r="AD14" s="162"/>
    </row>
    <row r="15" spans="1:30">
      <c r="A15" s="68" t="s">
        <v>795</v>
      </c>
      <c r="B15" s="8"/>
      <c r="C15" s="8"/>
      <c r="D15" s="4"/>
      <c r="E15" s="4"/>
      <c r="F15" s="4"/>
      <c r="G15" s="4"/>
      <c r="H15" s="4"/>
      <c r="I15" s="162"/>
      <c r="J15" s="162"/>
      <c r="K15" s="162"/>
      <c r="L15" s="162"/>
      <c r="M15" s="162"/>
      <c r="N15" s="162"/>
      <c r="O15" s="162"/>
      <c r="P15" s="162"/>
      <c r="Q15" s="162"/>
      <c r="R15" s="162"/>
      <c r="S15" s="162"/>
      <c r="T15" s="162"/>
      <c r="U15" s="162"/>
      <c r="V15" s="162"/>
      <c r="W15" s="162"/>
      <c r="X15" s="162"/>
      <c r="Y15" s="162"/>
      <c r="Z15" s="162"/>
      <c r="AA15" s="162"/>
      <c r="AB15" s="162"/>
      <c r="AC15" s="162"/>
      <c r="AD15" s="162"/>
    </row>
    <row r="16" spans="1:30">
      <c r="A16" s="8" t="s">
        <v>796</v>
      </c>
      <c r="B16" s="8"/>
      <c r="C16" s="8"/>
      <c r="D16" s="4"/>
      <c r="E16" s="4"/>
      <c r="F16" s="4"/>
      <c r="G16" s="4"/>
      <c r="H16" s="4"/>
      <c r="I16" s="162"/>
      <c r="J16" s="162"/>
      <c r="K16" s="162"/>
      <c r="L16" s="162"/>
      <c r="M16" s="162"/>
      <c r="N16" s="162"/>
      <c r="O16" s="162"/>
      <c r="P16" s="162"/>
      <c r="Q16" s="162"/>
      <c r="R16" s="162"/>
      <c r="S16" s="162"/>
      <c r="T16" s="162"/>
      <c r="U16" s="162"/>
      <c r="V16" s="162"/>
      <c r="W16" s="162"/>
      <c r="X16" s="162"/>
      <c r="Y16" s="162"/>
      <c r="Z16" s="162"/>
      <c r="AA16" s="162"/>
      <c r="AB16" s="162"/>
      <c r="AC16" s="162"/>
      <c r="AD16" s="162"/>
    </row>
    <row r="17" spans="1:30">
      <c r="A17" s="68" t="s">
        <v>26</v>
      </c>
      <c r="B17" s="8"/>
      <c r="C17" s="8"/>
      <c r="D17" s="4"/>
      <c r="E17" s="4"/>
      <c r="F17" s="4"/>
      <c r="G17" s="4"/>
      <c r="H17" s="4"/>
      <c r="I17" s="162"/>
      <c r="J17" s="162"/>
      <c r="K17" s="162"/>
      <c r="L17" s="162"/>
      <c r="M17" s="162"/>
      <c r="N17" s="162"/>
      <c r="O17" s="162"/>
      <c r="P17" s="162"/>
      <c r="Q17" s="162"/>
      <c r="R17" s="162"/>
      <c r="S17" s="162"/>
      <c r="T17" s="162"/>
      <c r="U17" s="162"/>
      <c r="V17" s="162"/>
      <c r="W17" s="162"/>
      <c r="X17" s="162"/>
      <c r="Y17" s="162"/>
      <c r="Z17" s="162"/>
      <c r="AA17" s="162"/>
      <c r="AB17" s="162"/>
      <c r="AC17" s="162"/>
      <c r="AD17" s="162"/>
    </row>
    <row r="18" spans="1:30">
      <c r="A18" s="8" t="s">
        <v>27</v>
      </c>
      <c r="B18" s="8"/>
      <c r="C18" s="8"/>
      <c r="D18" s="4"/>
      <c r="E18" s="4"/>
      <c r="F18" s="4"/>
      <c r="G18" s="4"/>
      <c r="H18" s="4"/>
      <c r="I18" s="162"/>
      <c r="J18" s="162"/>
      <c r="K18" s="162"/>
      <c r="L18" s="162"/>
      <c r="M18" s="162"/>
      <c r="N18" s="162"/>
      <c r="O18" s="162"/>
      <c r="P18" s="162"/>
      <c r="Q18" s="162"/>
      <c r="R18" s="162"/>
      <c r="S18" s="162"/>
      <c r="T18" s="162"/>
      <c r="U18" s="162"/>
      <c r="V18" s="162"/>
      <c r="W18" s="162"/>
      <c r="X18" s="162"/>
      <c r="Y18" s="162"/>
      <c r="Z18" s="162"/>
      <c r="AA18" s="162"/>
      <c r="AB18" s="162"/>
      <c r="AC18" s="162"/>
      <c r="AD18" s="162"/>
    </row>
    <row r="19" spans="1:30">
      <c r="A19" s="68" t="s">
        <v>100</v>
      </c>
      <c r="B19" s="8"/>
      <c r="C19" s="8"/>
      <c r="D19" s="4"/>
      <c r="E19" s="4"/>
      <c r="F19" s="4"/>
      <c r="G19" s="4"/>
      <c r="H19" s="4"/>
      <c r="I19" s="162"/>
      <c r="J19" s="162"/>
      <c r="K19" s="162"/>
      <c r="L19" s="162"/>
      <c r="M19" s="162"/>
      <c r="N19" s="162"/>
      <c r="O19" s="162"/>
      <c r="P19" s="162"/>
      <c r="Q19" s="162"/>
      <c r="R19" s="162"/>
      <c r="S19" s="162"/>
      <c r="T19" s="162"/>
      <c r="U19" s="162"/>
      <c r="V19" s="162"/>
      <c r="W19" s="162"/>
      <c r="X19" s="162"/>
      <c r="Y19" s="162"/>
      <c r="Z19" s="162"/>
      <c r="AA19" s="162"/>
      <c r="AB19" s="162"/>
      <c r="AC19" s="162"/>
      <c r="AD19" s="162"/>
    </row>
    <row r="20" spans="1:30">
      <c r="A20" s="765" t="s">
        <v>1363</v>
      </c>
      <c r="B20" s="8"/>
      <c r="C20" s="8"/>
      <c r="D20" s="4"/>
      <c r="E20" s="4"/>
      <c r="F20" s="4"/>
      <c r="G20" s="4"/>
      <c r="H20" s="4"/>
      <c r="I20" s="162"/>
      <c r="J20" s="162"/>
      <c r="K20" s="162"/>
      <c r="L20" s="162"/>
      <c r="M20" s="162"/>
      <c r="N20" s="162"/>
      <c r="O20" s="162"/>
      <c r="P20" s="162"/>
      <c r="Q20" s="162"/>
      <c r="R20" s="162"/>
      <c r="S20" s="162"/>
      <c r="T20" s="162"/>
      <c r="U20" s="162"/>
      <c r="V20" s="162"/>
      <c r="W20" s="162"/>
      <c r="X20" s="162"/>
      <c r="Y20" s="162"/>
      <c r="Z20" s="162"/>
      <c r="AA20" s="162"/>
      <c r="AB20" s="162"/>
      <c r="AC20" s="162"/>
      <c r="AD20" s="162"/>
    </row>
    <row r="21" spans="1:30">
      <c r="A21" s="9"/>
      <c r="B21" s="4"/>
      <c r="C21" s="4"/>
      <c r="D21" s="4"/>
      <c r="E21" s="4"/>
      <c r="F21" s="4"/>
      <c r="G21" s="4"/>
      <c r="H21" s="4"/>
      <c r="I21" s="162"/>
      <c r="J21" s="162"/>
      <c r="K21" s="162"/>
      <c r="L21" s="162"/>
      <c r="M21" s="162"/>
      <c r="N21" s="162"/>
      <c r="O21" s="162"/>
      <c r="P21" s="162"/>
      <c r="Q21" s="162"/>
      <c r="R21" s="162"/>
      <c r="S21" s="162"/>
      <c r="T21" s="162"/>
      <c r="U21" s="162"/>
      <c r="V21" s="162"/>
      <c r="W21" s="162"/>
      <c r="X21" s="162"/>
      <c r="Y21" s="162"/>
      <c r="Z21" s="162"/>
      <c r="AA21" s="162"/>
      <c r="AB21" s="162"/>
      <c r="AC21" s="162"/>
      <c r="AD21" s="162"/>
    </row>
    <row r="22" spans="1:30" ht="15" thickBot="1">
      <c r="A22" s="7" t="s">
        <v>1179</v>
      </c>
      <c r="B22" s="4"/>
      <c r="C22" s="4"/>
      <c r="D22" s="4"/>
      <c r="E22" s="4"/>
      <c r="F22" s="4"/>
      <c r="G22" s="4"/>
      <c r="H22" s="4"/>
      <c r="I22" s="162"/>
      <c r="J22" s="162"/>
      <c r="K22" s="162"/>
      <c r="L22" s="162"/>
      <c r="M22" s="162"/>
      <c r="N22" s="162"/>
      <c r="O22" s="162"/>
      <c r="P22" s="162"/>
      <c r="Q22" s="162"/>
      <c r="R22" s="162"/>
      <c r="S22" s="162"/>
      <c r="T22" s="162"/>
      <c r="U22" s="162"/>
      <c r="V22" s="162"/>
      <c r="W22" s="162"/>
      <c r="X22" s="162"/>
      <c r="Y22" s="162"/>
      <c r="Z22" s="162"/>
      <c r="AA22" s="162"/>
      <c r="AB22" s="162"/>
      <c r="AC22" s="162"/>
      <c r="AD22" s="162"/>
    </row>
    <row r="23" spans="1:30" ht="14.25">
      <c r="A23" s="12" t="s">
        <v>28</v>
      </c>
      <c r="B23" s="13" t="s">
        <v>28</v>
      </c>
      <c r="C23" s="13" t="s">
        <v>105</v>
      </c>
      <c r="D23" s="13" t="s">
        <v>106</v>
      </c>
      <c r="E23" s="13" t="s">
        <v>108</v>
      </c>
      <c r="F23" s="14" t="s">
        <v>401</v>
      </c>
      <c r="G23" s="4"/>
      <c r="H23" s="4"/>
      <c r="I23" s="162"/>
      <c r="J23" s="162"/>
      <c r="K23" s="162"/>
      <c r="L23" s="162"/>
      <c r="M23" s="162"/>
      <c r="N23" s="162"/>
      <c r="O23" s="162"/>
      <c r="P23" s="162"/>
      <c r="Q23" s="162"/>
      <c r="R23" s="162"/>
      <c r="S23" s="162"/>
      <c r="T23" s="162"/>
      <c r="U23" s="162"/>
      <c r="V23" s="162"/>
      <c r="W23" s="162"/>
      <c r="X23" s="162"/>
      <c r="Y23" s="162"/>
      <c r="Z23" s="162"/>
      <c r="AA23" s="162"/>
      <c r="AB23" s="162"/>
      <c r="AC23" s="162"/>
      <c r="AD23" s="162"/>
    </row>
    <row r="24" spans="1:30">
      <c r="A24" s="30"/>
      <c r="B24" s="19" t="s">
        <v>128</v>
      </c>
      <c r="C24" s="19" t="s">
        <v>99</v>
      </c>
      <c r="D24" s="19" t="s">
        <v>107</v>
      </c>
      <c r="E24" s="19" t="s">
        <v>99</v>
      </c>
      <c r="F24" s="20" t="s">
        <v>173</v>
      </c>
      <c r="G24" s="4"/>
      <c r="H24" s="4"/>
      <c r="I24" s="162"/>
      <c r="J24" s="162"/>
      <c r="K24" s="162"/>
      <c r="L24" s="162"/>
      <c r="M24" s="162"/>
      <c r="N24" s="162"/>
      <c r="O24" s="162"/>
      <c r="P24" s="162"/>
      <c r="Q24" s="162"/>
      <c r="R24" s="162"/>
      <c r="S24" s="162"/>
      <c r="T24" s="162"/>
      <c r="U24" s="162"/>
      <c r="V24" s="162"/>
      <c r="W24" s="162"/>
      <c r="X24" s="162"/>
      <c r="Y24" s="162"/>
      <c r="Z24" s="162"/>
      <c r="AA24" s="162"/>
      <c r="AB24" s="162"/>
      <c r="AC24" s="162"/>
      <c r="AD24" s="162"/>
    </row>
    <row r="25" spans="1:30" ht="13.5" thickBot="1">
      <c r="A25" s="15"/>
      <c r="B25" s="16"/>
      <c r="C25" s="16" t="s">
        <v>181</v>
      </c>
      <c r="D25" s="16" t="s">
        <v>181</v>
      </c>
      <c r="E25" s="16" t="s">
        <v>181</v>
      </c>
      <c r="F25" s="17" t="s">
        <v>181</v>
      </c>
      <c r="G25" s="4"/>
      <c r="H25" s="4"/>
      <c r="I25" s="162"/>
      <c r="J25" s="162"/>
      <c r="K25" s="162"/>
      <c r="L25" s="162"/>
      <c r="M25" s="162"/>
      <c r="N25" s="162"/>
      <c r="O25" s="162"/>
      <c r="P25" s="162"/>
      <c r="Q25" s="162"/>
      <c r="R25" s="162"/>
      <c r="S25" s="162"/>
      <c r="T25" s="162"/>
      <c r="U25" s="162"/>
      <c r="V25" s="162"/>
      <c r="W25" s="162"/>
      <c r="X25" s="162"/>
      <c r="Y25" s="162"/>
      <c r="Z25" s="162"/>
      <c r="AA25" s="162"/>
      <c r="AB25" s="162"/>
      <c r="AC25" s="162"/>
      <c r="AD25" s="162"/>
    </row>
    <row r="26" spans="1:30">
      <c r="A26" s="390"/>
      <c r="B26" s="78" t="str">
        <f t="shared" ref="B26:B36" si="0">IF(A26="","",VLOOKUP(A26,GWP,2,FALSE))</f>
        <v/>
      </c>
      <c r="C26" s="404"/>
      <c r="D26" s="404"/>
      <c r="E26" s="404"/>
      <c r="F26" s="402" t="str">
        <f t="shared" ref="F26:F36" si="1">IF(B26="", "",IF(($C26+$D26+$E26)*$B26&lt;0,0,($C26+$D26+$E26)*$B26))</f>
        <v/>
      </c>
      <c r="G26" s="4"/>
      <c r="H26" s="4"/>
      <c r="I26" s="162"/>
      <c r="J26" s="162"/>
      <c r="K26" s="162"/>
      <c r="L26" s="162"/>
      <c r="M26" s="162"/>
      <c r="N26" s="162"/>
      <c r="O26" s="162"/>
      <c r="P26" s="162"/>
      <c r="Q26" s="162"/>
      <c r="R26" s="162"/>
      <c r="S26" s="162"/>
      <c r="T26" s="162"/>
      <c r="U26" s="162"/>
      <c r="V26" s="162"/>
      <c r="W26" s="162"/>
      <c r="X26" s="162"/>
      <c r="Y26" s="162"/>
      <c r="Z26" s="162"/>
      <c r="AA26" s="162"/>
      <c r="AB26" s="162"/>
      <c r="AC26" s="162"/>
      <c r="AD26" s="162"/>
    </row>
    <row r="27" spans="1:30">
      <c r="A27" s="392"/>
      <c r="B27" s="192" t="str">
        <f t="shared" si="0"/>
        <v/>
      </c>
      <c r="C27" s="404"/>
      <c r="D27" s="375"/>
      <c r="E27" s="375"/>
      <c r="F27" s="376" t="str">
        <f t="shared" si="1"/>
        <v/>
      </c>
      <c r="G27" s="4"/>
      <c r="H27" s="4"/>
      <c r="I27" s="162"/>
      <c r="J27" s="162"/>
      <c r="K27" s="162"/>
      <c r="L27" s="162"/>
      <c r="M27" s="162"/>
      <c r="N27" s="162"/>
      <c r="O27" s="162"/>
      <c r="P27" s="162"/>
      <c r="Q27" s="162"/>
      <c r="R27" s="162"/>
      <c r="S27" s="162"/>
      <c r="T27" s="162"/>
      <c r="U27" s="162"/>
      <c r="V27" s="162"/>
      <c r="W27" s="162"/>
      <c r="X27" s="162"/>
      <c r="Y27" s="162"/>
      <c r="Z27" s="162"/>
      <c r="AA27" s="162"/>
      <c r="AB27" s="162"/>
      <c r="AC27" s="162"/>
      <c r="AD27" s="162"/>
    </row>
    <row r="28" spans="1:30">
      <c r="A28" s="392"/>
      <c r="B28" s="192" t="str">
        <f t="shared" si="0"/>
        <v/>
      </c>
      <c r="C28" s="404"/>
      <c r="D28" s="375"/>
      <c r="E28" s="375"/>
      <c r="F28" s="376" t="str">
        <f t="shared" si="1"/>
        <v/>
      </c>
      <c r="G28" s="4"/>
      <c r="H28" s="4"/>
      <c r="I28" s="162"/>
      <c r="J28" s="162"/>
      <c r="K28" s="162"/>
      <c r="L28" s="162"/>
      <c r="M28" s="162"/>
      <c r="N28" s="162"/>
      <c r="O28" s="162"/>
      <c r="P28" s="162"/>
      <c r="Q28" s="162"/>
      <c r="R28" s="162"/>
      <c r="S28" s="162"/>
      <c r="T28" s="162"/>
      <c r="U28" s="162"/>
      <c r="V28" s="162"/>
      <c r="W28" s="162"/>
      <c r="X28" s="162"/>
      <c r="Y28" s="162"/>
      <c r="Z28" s="162"/>
      <c r="AA28" s="162"/>
      <c r="AB28" s="162"/>
      <c r="AC28" s="162"/>
      <c r="AD28" s="162"/>
    </row>
    <row r="29" spans="1:30">
      <c r="A29" s="392"/>
      <c r="B29" s="192" t="str">
        <f t="shared" si="0"/>
        <v/>
      </c>
      <c r="C29" s="404"/>
      <c r="D29" s="375"/>
      <c r="E29" s="375"/>
      <c r="F29" s="376" t="str">
        <f>IF(B29="", "",IF(($C29+$D29+$E29)*$B29&lt;0,0,($C29+$D29+$E29)*$B29))</f>
        <v/>
      </c>
      <c r="G29" s="4"/>
      <c r="H29" s="4"/>
      <c r="I29" s="162"/>
      <c r="J29" s="162"/>
      <c r="K29" s="162"/>
      <c r="L29" s="162"/>
      <c r="M29" s="162"/>
      <c r="N29" s="162"/>
      <c r="O29" s="162"/>
      <c r="P29" s="162"/>
      <c r="Q29" s="162"/>
      <c r="R29" s="162"/>
      <c r="S29" s="162"/>
      <c r="T29" s="162"/>
      <c r="U29" s="162"/>
      <c r="V29" s="162"/>
      <c r="W29" s="162"/>
      <c r="X29" s="162"/>
      <c r="Y29" s="162"/>
      <c r="Z29" s="162"/>
      <c r="AA29" s="162"/>
      <c r="AB29" s="162"/>
      <c r="AC29" s="162"/>
      <c r="AD29" s="162"/>
    </row>
    <row r="30" spans="1:30">
      <c r="A30" s="392"/>
      <c r="B30" s="192" t="str">
        <f t="shared" si="0"/>
        <v/>
      </c>
      <c r="C30" s="404"/>
      <c r="D30" s="375"/>
      <c r="E30" s="375"/>
      <c r="F30" s="376" t="str">
        <f t="shared" si="1"/>
        <v/>
      </c>
      <c r="G30" s="4"/>
      <c r="H30" s="4"/>
      <c r="I30" s="162"/>
      <c r="J30" s="162"/>
      <c r="K30" s="162"/>
      <c r="L30" s="162"/>
      <c r="M30" s="162"/>
      <c r="N30" s="162"/>
      <c r="O30" s="162"/>
      <c r="P30" s="162"/>
      <c r="Q30" s="162"/>
      <c r="R30" s="162"/>
      <c r="S30" s="162"/>
      <c r="T30" s="162"/>
      <c r="U30" s="162"/>
      <c r="V30" s="162"/>
      <c r="W30" s="162"/>
      <c r="X30" s="162"/>
      <c r="Y30" s="162"/>
      <c r="Z30" s="162"/>
      <c r="AA30" s="162"/>
      <c r="AB30" s="162"/>
      <c r="AC30" s="162"/>
      <c r="AD30" s="162"/>
    </row>
    <row r="31" spans="1:30">
      <c r="A31" s="392"/>
      <c r="B31" s="192" t="str">
        <f t="shared" si="0"/>
        <v/>
      </c>
      <c r="C31" s="404"/>
      <c r="D31" s="375"/>
      <c r="E31" s="375"/>
      <c r="F31" s="376" t="str">
        <f t="shared" si="1"/>
        <v/>
      </c>
      <c r="G31" s="4"/>
      <c r="H31" s="4"/>
      <c r="I31" s="162"/>
      <c r="J31" s="162"/>
      <c r="K31" s="162"/>
      <c r="L31" s="162"/>
      <c r="M31" s="162"/>
      <c r="N31" s="162"/>
      <c r="O31" s="162"/>
      <c r="P31" s="162"/>
      <c r="Q31" s="162"/>
      <c r="R31" s="162"/>
      <c r="S31" s="162"/>
      <c r="T31" s="162"/>
      <c r="U31" s="162"/>
      <c r="V31" s="162"/>
      <c r="W31" s="162"/>
      <c r="X31" s="162"/>
      <c r="Y31" s="162"/>
      <c r="Z31" s="162"/>
      <c r="AA31" s="162"/>
      <c r="AB31" s="162"/>
      <c r="AC31" s="162"/>
      <c r="AD31" s="162"/>
    </row>
    <row r="32" spans="1:30">
      <c r="A32" s="392"/>
      <c r="B32" s="192" t="str">
        <f t="shared" si="0"/>
        <v/>
      </c>
      <c r="C32" s="404"/>
      <c r="D32" s="375"/>
      <c r="E32" s="375"/>
      <c r="F32" s="376" t="str">
        <f t="shared" si="1"/>
        <v/>
      </c>
      <c r="G32" s="4"/>
      <c r="H32" s="4"/>
      <c r="I32" s="162"/>
      <c r="J32" s="162"/>
      <c r="K32" s="162"/>
      <c r="L32" s="162"/>
      <c r="M32" s="162"/>
      <c r="N32" s="162"/>
      <c r="O32" s="162"/>
      <c r="P32" s="162"/>
      <c r="Q32" s="162"/>
      <c r="R32" s="162"/>
      <c r="S32" s="162"/>
      <c r="T32" s="162"/>
      <c r="U32" s="162"/>
      <c r="V32" s="162"/>
      <c r="W32" s="162"/>
      <c r="X32" s="162"/>
      <c r="Y32" s="162"/>
      <c r="Z32" s="162"/>
      <c r="AA32" s="162"/>
      <c r="AB32" s="162"/>
      <c r="AC32" s="162"/>
      <c r="AD32" s="162"/>
    </row>
    <row r="33" spans="1:30">
      <c r="A33" s="392"/>
      <c r="B33" s="192" t="str">
        <f t="shared" si="0"/>
        <v/>
      </c>
      <c r="C33" s="404"/>
      <c r="D33" s="375"/>
      <c r="E33" s="375"/>
      <c r="F33" s="376" t="str">
        <f t="shared" si="1"/>
        <v/>
      </c>
      <c r="G33" s="4"/>
      <c r="H33" s="4"/>
      <c r="I33" s="162"/>
      <c r="J33" s="162"/>
      <c r="K33" s="162"/>
      <c r="L33" s="162"/>
      <c r="M33" s="162"/>
      <c r="N33" s="162"/>
      <c r="O33" s="162"/>
      <c r="P33" s="162"/>
      <c r="Q33" s="162"/>
      <c r="R33" s="162"/>
      <c r="S33" s="162"/>
      <c r="T33" s="162"/>
      <c r="U33" s="162"/>
      <c r="V33" s="162"/>
      <c r="W33" s="162"/>
      <c r="X33" s="162"/>
      <c r="Y33" s="162"/>
      <c r="Z33" s="162"/>
      <c r="AA33" s="162"/>
      <c r="AB33" s="162"/>
      <c r="AC33" s="162"/>
      <c r="AD33" s="162"/>
    </row>
    <row r="34" spans="1:30">
      <c r="A34" s="392"/>
      <c r="B34" s="192" t="str">
        <f t="shared" si="0"/>
        <v/>
      </c>
      <c r="C34" s="404"/>
      <c r="D34" s="375"/>
      <c r="E34" s="375"/>
      <c r="F34" s="376" t="str">
        <f t="shared" si="1"/>
        <v/>
      </c>
      <c r="G34" s="4"/>
      <c r="H34" s="4"/>
      <c r="I34" s="162"/>
      <c r="J34" s="162"/>
      <c r="K34" s="162"/>
      <c r="L34" s="162"/>
      <c r="M34" s="162"/>
      <c r="N34" s="162"/>
      <c r="O34" s="162"/>
      <c r="P34" s="162"/>
      <c r="Q34" s="162"/>
      <c r="R34" s="162"/>
      <c r="S34" s="162"/>
      <c r="T34" s="162"/>
      <c r="U34" s="162"/>
      <c r="V34" s="162"/>
      <c r="W34" s="162"/>
      <c r="X34" s="162"/>
      <c r="Y34" s="162"/>
      <c r="Z34" s="162"/>
      <c r="AA34" s="162"/>
      <c r="AB34" s="162"/>
      <c r="AC34" s="162"/>
      <c r="AD34" s="162"/>
    </row>
    <row r="35" spans="1:30">
      <c r="A35" s="392"/>
      <c r="B35" s="192" t="str">
        <f t="shared" si="0"/>
        <v/>
      </c>
      <c r="C35" s="404"/>
      <c r="D35" s="375"/>
      <c r="E35" s="375"/>
      <c r="F35" s="376" t="str">
        <f t="shared" si="1"/>
        <v/>
      </c>
      <c r="G35" s="4"/>
      <c r="H35" s="4"/>
      <c r="I35" s="162"/>
      <c r="J35" s="162"/>
      <c r="K35" s="162"/>
      <c r="L35" s="162"/>
      <c r="M35" s="162"/>
      <c r="N35" s="162"/>
      <c r="O35" s="162"/>
      <c r="P35" s="162"/>
      <c r="Q35" s="162"/>
      <c r="R35" s="162"/>
      <c r="S35" s="162"/>
      <c r="T35" s="162"/>
      <c r="U35" s="162"/>
      <c r="V35" s="162"/>
      <c r="W35" s="162"/>
      <c r="X35" s="162"/>
      <c r="Y35" s="162"/>
      <c r="Z35" s="162"/>
      <c r="AA35" s="162"/>
      <c r="AB35" s="162"/>
      <c r="AC35" s="162"/>
      <c r="AD35" s="162"/>
    </row>
    <row r="36" spans="1:30" ht="13.5" thickBot="1">
      <c r="A36" s="393"/>
      <c r="B36" s="377" t="str">
        <f t="shared" si="0"/>
        <v/>
      </c>
      <c r="C36" s="378"/>
      <c r="D36" s="378"/>
      <c r="E36" s="378"/>
      <c r="F36" s="379" t="str">
        <f t="shared" si="1"/>
        <v/>
      </c>
      <c r="G36" s="4"/>
      <c r="H36" s="4"/>
      <c r="I36" s="162"/>
      <c r="J36" s="162"/>
      <c r="K36" s="162"/>
      <c r="L36" s="162"/>
      <c r="M36" s="162"/>
      <c r="N36" s="162"/>
      <c r="O36" s="162"/>
      <c r="P36" s="162"/>
      <c r="Q36" s="162"/>
      <c r="R36" s="162"/>
      <c r="S36" s="162"/>
      <c r="T36" s="162"/>
      <c r="U36" s="162"/>
      <c r="V36" s="162"/>
      <c r="W36" s="162"/>
      <c r="X36" s="162"/>
      <c r="Y36" s="162"/>
      <c r="Z36" s="162"/>
      <c r="AA36" s="162"/>
      <c r="AB36" s="162"/>
      <c r="AC36" s="162"/>
      <c r="AD36" s="162"/>
    </row>
    <row r="37" spans="1:30">
      <c r="A37" s="9"/>
      <c r="B37" s="4"/>
      <c r="C37" s="4"/>
      <c r="D37" s="4"/>
      <c r="E37" s="4"/>
      <c r="F37" s="4"/>
      <c r="G37" s="4"/>
      <c r="H37" s="4"/>
      <c r="I37" s="162"/>
      <c r="J37" s="162"/>
      <c r="K37" s="162"/>
      <c r="L37" s="162"/>
      <c r="M37" s="162"/>
      <c r="N37" s="162"/>
      <c r="O37" s="162"/>
      <c r="P37" s="162"/>
      <c r="Q37" s="162"/>
      <c r="R37" s="162"/>
      <c r="S37" s="162"/>
      <c r="T37" s="162"/>
      <c r="U37" s="162"/>
      <c r="V37" s="162"/>
      <c r="W37" s="162"/>
      <c r="X37" s="162"/>
      <c r="Y37" s="162"/>
      <c r="Z37" s="162"/>
      <c r="AA37" s="162"/>
      <c r="AB37" s="162"/>
      <c r="AC37" s="162"/>
      <c r="AD37" s="162"/>
    </row>
    <row r="38" spans="1:30">
      <c r="A38" s="7" t="s">
        <v>995</v>
      </c>
      <c r="B38" s="7"/>
      <c r="C38" s="4"/>
      <c r="D38" s="4"/>
      <c r="E38" s="4"/>
      <c r="F38" s="4"/>
      <c r="G38" s="4"/>
      <c r="H38" s="4"/>
      <c r="I38" s="162"/>
      <c r="J38" s="162"/>
      <c r="K38" s="162"/>
      <c r="L38" s="162"/>
      <c r="M38" s="162"/>
      <c r="N38" s="162"/>
      <c r="O38" s="162"/>
      <c r="P38" s="162"/>
      <c r="Q38" s="162"/>
      <c r="R38" s="162"/>
      <c r="S38" s="162"/>
      <c r="T38" s="162"/>
      <c r="U38" s="162"/>
      <c r="V38" s="162"/>
      <c r="W38" s="162"/>
      <c r="X38" s="162"/>
      <c r="Y38" s="162"/>
      <c r="Z38" s="162"/>
      <c r="AA38" s="162"/>
      <c r="AB38" s="162"/>
      <c r="AC38" s="162"/>
      <c r="AD38" s="162"/>
    </row>
    <row r="39" spans="1:30">
      <c r="A39" s="68" t="s">
        <v>653</v>
      </c>
      <c r="B39" s="8"/>
      <c r="C39" s="8"/>
      <c r="D39" s="4"/>
      <c r="E39" s="4"/>
      <c r="F39" s="4"/>
      <c r="G39" s="4"/>
      <c r="H39" s="4"/>
      <c r="I39" s="162"/>
      <c r="J39" s="162"/>
      <c r="K39" s="162"/>
      <c r="L39" s="162"/>
      <c r="M39" s="162"/>
      <c r="N39" s="162"/>
      <c r="O39" s="162"/>
      <c r="P39" s="162"/>
      <c r="Q39" s="162"/>
      <c r="R39" s="162"/>
      <c r="S39" s="162"/>
      <c r="T39" s="162"/>
      <c r="U39" s="162"/>
      <c r="V39" s="162"/>
      <c r="W39" s="162"/>
      <c r="X39" s="162"/>
      <c r="Y39" s="162"/>
      <c r="Z39" s="162"/>
      <c r="AA39" s="162"/>
      <c r="AB39" s="162"/>
      <c r="AC39" s="162"/>
      <c r="AD39" s="162"/>
    </row>
    <row r="40" spans="1:30">
      <c r="A40" s="68" t="s">
        <v>80</v>
      </c>
      <c r="B40" s="10"/>
      <c r="C40" s="4"/>
      <c r="D40" s="4"/>
      <c r="E40" s="4"/>
      <c r="F40" s="4"/>
      <c r="G40" s="4"/>
      <c r="H40" s="4"/>
      <c r="I40" s="162"/>
      <c r="J40" s="162"/>
      <c r="K40" s="162"/>
      <c r="L40" s="162"/>
      <c r="M40" s="162"/>
      <c r="N40" s="162"/>
      <c r="O40" s="162"/>
      <c r="P40" s="162"/>
      <c r="Q40" s="162"/>
      <c r="R40" s="162"/>
      <c r="S40" s="162"/>
      <c r="T40" s="162"/>
      <c r="U40" s="162"/>
      <c r="V40" s="162"/>
      <c r="W40" s="162"/>
      <c r="X40" s="162"/>
      <c r="Y40" s="162"/>
      <c r="Z40" s="162"/>
      <c r="AA40" s="162"/>
      <c r="AB40" s="162"/>
      <c r="AC40" s="162"/>
      <c r="AD40" s="162"/>
    </row>
    <row r="41" spans="1:30">
      <c r="A41" s="68" t="s">
        <v>710</v>
      </c>
      <c r="B41" s="10"/>
      <c r="C41" s="4"/>
      <c r="D41" s="4"/>
      <c r="E41" s="4"/>
      <c r="F41" s="4"/>
      <c r="G41" s="4"/>
      <c r="H41" s="4"/>
      <c r="I41" s="162"/>
      <c r="J41" s="162"/>
      <c r="K41" s="162"/>
      <c r="L41" s="162"/>
      <c r="M41" s="162"/>
      <c r="N41" s="162"/>
      <c r="O41" s="162"/>
      <c r="P41" s="162"/>
      <c r="Q41" s="162"/>
      <c r="R41" s="162"/>
      <c r="S41" s="162"/>
      <c r="T41" s="162"/>
      <c r="U41" s="162"/>
      <c r="V41" s="162"/>
      <c r="W41" s="162"/>
      <c r="X41" s="162"/>
      <c r="Y41" s="162"/>
      <c r="Z41" s="162"/>
      <c r="AA41" s="162"/>
      <c r="AB41" s="162"/>
      <c r="AC41" s="162"/>
      <c r="AD41" s="162"/>
    </row>
    <row r="42" spans="1:30">
      <c r="A42" s="8" t="s">
        <v>994</v>
      </c>
      <c r="B42" s="10"/>
      <c r="C42" s="4"/>
      <c r="D42" s="4"/>
      <c r="E42" s="4"/>
      <c r="F42" s="4"/>
      <c r="G42" s="4"/>
      <c r="H42" s="4"/>
      <c r="I42" s="162"/>
      <c r="J42" s="162"/>
      <c r="K42" s="162"/>
      <c r="L42" s="162"/>
      <c r="M42" s="162"/>
      <c r="N42" s="162"/>
      <c r="O42" s="162"/>
      <c r="P42" s="162"/>
      <c r="Q42" s="162"/>
      <c r="R42" s="162"/>
      <c r="S42" s="162"/>
      <c r="T42" s="162"/>
      <c r="U42" s="162"/>
      <c r="V42" s="162"/>
      <c r="W42" s="162"/>
      <c r="X42" s="162"/>
      <c r="Y42" s="162"/>
      <c r="Z42" s="162"/>
      <c r="AA42" s="162"/>
      <c r="AB42" s="162"/>
      <c r="AC42" s="162"/>
      <c r="AD42" s="162"/>
    </row>
    <row r="43" spans="1:30">
      <c r="A43" s="68" t="s">
        <v>2</v>
      </c>
      <c r="B43" s="10"/>
      <c r="C43" s="4"/>
      <c r="D43" s="4"/>
      <c r="E43" s="4"/>
      <c r="F43" s="4"/>
      <c r="G43" s="4"/>
      <c r="H43" s="4"/>
      <c r="I43" s="162"/>
      <c r="J43" s="162"/>
      <c r="K43" s="162"/>
      <c r="L43" s="162"/>
      <c r="M43" s="162"/>
      <c r="N43" s="162"/>
      <c r="O43" s="162"/>
      <c r="P43" s="162"/>
      <c r="Q43" s="162"/>
      <c r="R43" s="162"/>
      <c r="S43" s="162"/>
      <c r="T43" s="162"/>
      <c r="U43" s="162"/>
      <c r="V43" s="162"/>
      <c r="W43" s="162"/>
      <c r="X43" s="162"/>
      <c r="Y43" s="162"/>
      <c r="Z43" s="162"/>
      <c r="AA43" s="162"/>
      <c r="AB43" s="162"/>
      <c r="AC43" s="162"/>
      <c r="AD43" s="162"/>
    </row>
    <row r="44" spans="1:30">
      <c r="A44" s="68" t="s">
        <v>81</v>
      </c>
      <c r="B44" s="10"/>
      <c r="C44" s="4"/>
      <c r="D44" s="4"/>
      <c r="E44" s="4"/>
      <c r="F44" s="4"/>
      <c r="G44" s="4"/>
      <c r="H44" s="4"/>
      <c r="I44" s="162"/>
      <c r="J44" s="162"/>
      <c r="K44" s="162"/>
      <c r="L44" s="162"/>
      <c r="M44" s="162"/>
      <c r="N44" s="162"/>
      <c r="O44" s="162"/>
      <c r="P44" s="162"/>
      <c r="Q44" s="162"/>
      <c r="R44" s="162"/>
      <c r="S44" s="162"/>
      <c r="T44" s="162"/>
      <c r="U44" s="162"/>
      <c r="V44" s="162"/>
      <c r="W44" s="162"/>
      <c r="X44" s="162"/>
      <c r="Y44" s="162"/>
      <c r="Z44" s="162"/>
      <c r="AA44" s="162"/>
      <c r="AB44" s="162"/>
      <c r="AC44" s="162"/>
      <c r="AD44" s="162"/>
    </row>
    <row r="45" spans="1:30">
      <c r="A45" s="4"/>
      <c r="B45" s="4"/>
      <c r="C45" s="4"/>
      <c r="D45" s="4"/>
      <c r="E45" s="4"/>
      <c r="F45" s="4"/>
      <c r="G45" s="4"/>
      <c r="H45" s="4"/>
      <c r="I45" s="162"/>
      <c r="J45" s="162"/>
      <c r="K45" s="162"/>
      <c r="L45" s="162"/>
      <c r="M45" s="162"/>
      <c r="N45" s="162"/>
      <c r="O45" s="162"/>
      <c r="P45" s="162"/>
      <c r="Q45" s="162"/>
      <c r="R45" s="162"/>
      <c r="S45" s="162"/>
      <c r="T45" s="162"/>
      <c r="U45" s="162"/>
      <c r="V45" s="162"/>
      <c r="W45" s="162"/>
      <c r="X45" s="162"/>
      <c r="Y45" s="162"/>
      <c r="Z45" s="162"/>
      <c r="AA45" s="162"/>
      <c r="AB45" s="162"/>
      <c r="AC45" s="162"/>
      <c r="AD45" s="162"/>
    </row>
    <row r="46" spans="1:30" ht="15" thickBot="1">
      <c r="A46" s="7" t="s">
        <v>1180</v>
      </c>
      <c r="B46" s="4"/>
      <c r="C46" s="4"/>
      <c r="D46" s="4"/>
      <c r="E46" s="4"/>
      <c r="F46" s="4"/>
      <c r="G46" s="4"/>
      <c r="H46" s="4"/>
      <c r="I46" s="162"/>
      <c r="J46" s="162"/>
      <c r="K46" s="162"/>
      <c r="L46" s="162"/>
      <c r="M46" s="162"/>
      <c r="N46" s="162"/>
      <c r="O46" s="162"/>
      <c r="P46" s="162"/>
      <c r="Q46" s="162"/>
      <c r="R46" s="162"/>
      <c r="S46" s="162"/>
      <c r="T46" s="162"/>
      <c r="U46" s="162"/>
      <c r="V46" s="162"/>
      <c r="W46" s="162"/>
      <c r="X46" s="162"/>
      <c r="Y46" s="162"/>
      <c r="Z46" s="162"/>
      <c r="AA46" s="162"/>
      <c r="AB46" s="162"/>
      <c r="AC46" s="162"/>
      <c r="AD46" s="162"/>
    </row>
    <row r="47" spans="1:30" ht="14.25">
      <c r="A47" s="12" t="s">
        <v>28</v>
      </c>
      <c r="B47" s="13" t="s">
        <v>28</v>
      </c>
      <c r="C47" s="1228" t="s">
        <v>111</v>
      </c>
      <c r="D47" s="1229"/>
      <c r="E47" s="80" t="s">
        <v>112</v>
      </c>
      <c r="F47" s="1228" t="s">
        <v>113</v>
      </c>
      <c r="G47" s="1229"/>
      <c r="H47" s="14" t="s">
        <v>401</v>
      </c>
      <c r="I47" s="162"/>
      <c r="J47" s="162"/>
      <c r="K47" s="162"/>
      <c r="L47" s="162"/>
      <c r="M47" s="162"/>
      <c r="N47" s="162"/>
      <c r="O47" s="162"/>
      <c r="P47" s="162"/>
      <c r="Q47" s="162"/>
      <c r="R47" s="162"/>
      <c r="S47" s="162"/>
      <c r="T47" s="162"/>
      <c r="U47" s="162"/>
      <c r="V47" s="162"/>
      <c r="W47" s="162"/>
      <c r="X47" s="162"/>
      <c r="Y47" s="162"/>
      <c r="Z47" s="162"/>
      <c r="AA47" s="162"/>
      <c r="AB47" s="162"/>
      <c r="AC47" s="162"/>
      <c r="AD47" s="162"/>
    </row>
    <row r="48" spans="1:30">
      <c r="A48" s="30"/>
      <c r="B48" s="19" t="s">
        <v>128</v>
      </c>
      <c r="C48" s="81" t="s">
        <v>82</v>
      </c>
      <c r="D48" s="81" t="s">
        <v>108</v>
      </c>
      <c r="E48" s="81" t="s">
        <v>83</v>
      </c>
      <c r="F48" s="81" t="s">
        <v>108</v>
      </c>
      <c r="G48" s="81" t="s">
        <v>114</v>
      </c>
      <c r="H48" s="20" t="s">
        <v>173</v>
      </c>
      <c r="I48" s="162"/>
      <c r="J48" s="162"/>
      <c r="K48" s="162"/>
      <c r="L48" s="162"/>
      <c r="M48" s="162"/>
      <c r="N48" s="162"/>
      <c r="O48" s="162"/>
      <c r="P48" s="162"/>
      <c r="Q48" s="162"/>
      <c r="R48" s="162"/>
      <c r="S48" s="162"/>
      <c r="T48" s="162"/>
      <c r="U48" s="162"/>
      <c r="V48" s="162"/>
      <c r="W48" s="162"/>
      <c r="X48" s="162"/>
      <c r="Y48" s="162"/>
      <c r="Z48" s="162"/>
      <c r="AA48" s="162"/>
      <c r="AB48" s="162"/>
      <c r="AC48" s="162"/>
      <c r="AD48" s="162"/>
    </row>
    <row r="49" spans="1:30" ht="13.5" thickBot="1">
      <c r="A49" s="15"/>
      <c r="B49" s="16"/>
      <c r="C49" s="16" t="s">
        <v>181</v>
      </c>
      <c r="D49" s="16" t="s">
        <v>181</v>
      </c>
      <c r="E49" s="16" t="s">
        <v>181</v>
      </c>
      <c r="F49" s="16" t="s">
        <v>181</v>
      </c>
      <c r="G49" s="16" t="s">
        <v>181</v>
      </c>
      <c r="H49" s="17" t="s">
        <v>181</v>
      </c>
      <c r="I49" s="162"/>
      <c r="J49" s="162"/>
      <c r="K49" s="162"/>
      <c r="L49" s="162"/>
      <c r="M49" s="162"/>
      <c r="N49" s="162"/>
      <c r="O49" s="162"/>
      <c r="P49" s="162"/>
      <c r="Q49" s="162"/>
      <c r="R49" s="162"/>
      <c r="S49" s="162"/>
      <c r="T49" s="162"/>
      <c r="U49" s="162"/>
      <c r="V49" s="162"/>
      <c r="W49" s="162"/>
      <c r="X49" s="162"/>
      <c r="Y49" s="162"/>
      <c r="Z49" s="162"/>
      <c r="AA49" s="162"/>
      <c r="AB49" s="162"/>
      <c r="AC49" s="162"/>
      <c r="AD49" s="162"/>
    </row>
    <row r="50" spans="1:30">
      <c r="A50" s="390"/>
      <c r="B50" s="78" t="str">
        <f t="shared" ref="B50:B60" si="2">IF(A50="","",VLOOKUP(A50,GWP,2,FALSE))</f>
        <v/>
      </c>
      <c r="C50" s="404"/>
      <c r="D50" s="86"/>
      <c r="E50" s="86"/>
      <c r="F50" s="86"/>
      <c r="G50" s="86"/>
      <c r="H50" s="101" t="str">
        <f>IF(B50="","",IF(($C50-$D50+$E50+$F50-$G50)*$B50&lt;0,0,($C50-$D50+$E50+$F50-$G50)*$B50))</f>
        <v/>
      </c>
      <c r="I50" s="162"/>
      <c r="J50" s="162"/>
      <c r="K50" s="162"/>
      <c r="L50" s="162"/>
      <c r="M50" s="162"/>
      <c r="N50" s="162"/>
      <c r="O50" s="162"/>
      <c r="P50" s="162"/>
      <c r="Q50" s="162"/>
      <c r="R50" s="162"/>
      <c r="S50" s="162"/>
      <c r="T50" s="162"/>
      <c r="U50" s="162"/>
      <c r="V50" s="162"/>
      <c r="W50" s="162"/>
      <c r="X50" s="162"/>
      <c r="Y50" s="162"/>
      <c r="Z50" s="162"/>
      <c r="AA50" s="162"/>
      <c r="AB50" s="162"/>
      <c r="AC50" s="162"/>
      <c r="AD50" s="162"/>
    </row>
    <row r="51" spans="1:30">
      <c r="A51" s="392"/>
      <c r="B51" s="192" t="str">
        <f t="shared" si="2"/>
        <v/>
      </c>
      <c r="C51" s="404"/>
      <c r="D51" s="87"/>
      <c r="E51" s="87"/>
      <c r="F51" s="87"/>
      <c r="G51" s="87"/>
      <c r="H51" s="102" t="str">
        <f t="shared" ref="H51:H60" si="3">IF(B51="","",IF(($C51-$D51+$E51+$F51-$G51)*$B51&lt;0,0,($C51-$D51+$E51+$F51-$G51)*$B51))</f>
        <v/>
      </c>
      <c r="I51" s="162"/>
      <c r="J51" s="162"/>
      <c r="K51" s="162"/>
      <c r="L51" s="162"/>
      <c r="M51" s="162"/>
      <c r="N51" s="162"/>
      <c r="O51" s="162"/>
      <c r="P51" s="162"/>
      <c r="Q51" s="162"/>
      <c r="R51" s="162"/>
      <c r="S51" s="162"/>
      <c r="T51" s="162"/>
      <c r="U51" s="162"/>
      <c r="V51" s="162"/>
      <c r="W51" s="162"/>
      <c r="X51" s="162"/>
      <c r="Y51" s="162"/>
      <c r="Z51" s="162"/>
      <c r="AA51" s="162"/>
      <c r="AB51" s="162"/>
      <c r="AC51" s="162"/>
      <c r="AD51" s="162"/>
    </row>
    <row r="52" spans="1:30">
      <c r="A52" s="392"/>
      <c r="B52" s="192" t="str">
        <f t="shared" si="2"/>
        <v/>
      </c>
      <c r="C52" s="404"/>
      <c r="D52" s="87"/>
      <c r="E52" s="87"/>
      <c r="F52" s="87"/>
      <c r="G52" s="87"/>
      <c r="H52" s="102" t="str">
        <f t="shared" si="3"/>
        <v/>
      </c>
      <c r="I52" s="162"/>
      <c r="J52" s="162"/>
      <c r="K52" s="162"/>
      <c r="L52" s="162"/>
      <c r="M52" s="162"/>
      <c r="N52" s="162"/>
      <c r="O52" s="162"/>
      <c r="P52" s="162"/>
      <c r="Q52" s="162"/>
      <c r="R52" s="162"/>
      <c r="S52" s="162"/>
      <c r="T52" s="162"/>
      <c r="U52" s="162"/>
      <c r="V52" s="162"/>
      <c r="W52" s="162"/>
      <c r="X52" s="162"/>
      <c r="Y52" s="162"/>
      <c r="Z52" s="162"/>
      <c r="AA52" s="162"/>
      <c r="AB52" s="162"/>
      <c r="AC52" s="162"/>
      <c r="AD52" s="162"/>
    </row>
    <row r="53" spans="1:30">
      <c r="A53" s="392"/>
      <c r="B53" s="192" t="str">
        <f t="shared" si="2"/>
        <v/>
      </c>
      <c r="C53" s="404"/>
      <c r="D53" s="87"/>
      <c r="E53" s="87"/>
      <c r="F53" s="87"/>
      <c r="G53" s="87"/>
      <c r="H53" s="102" t="str">
        <f t="shared" si="3"/>
        <v/>
      </c>
      <c r="I53" s="162"/>
      <c r="J53" s="162"/>
      <c r="K53" s="162"/>
      <c r="L53" s="162"/>
      <c r="M53" s="162"/>
      <c r="N53" s="162"/>
      <c r="O53" s="162"/>
      <c r="P53" s="162"/>
      <c r="Q53" s="162"/>
      <c r="R53" s="162"/>
      <c r="S53" s="162"/>
      <c r="T53" s="162"/>
      <c r="U53" s="162"/>
      <c r="V53" s="162"/>
      <c r="W53" s="162"/>
      <c r="X53" s="162"/>
      <c r="Y53" s="162"/>
      <c r="Z53" s="162"/>
      <c r="AA53" s="162"/>
      <c r="AB53" s="162"/>
      <c r="AC53" s="162"/>
      <c r="AD53" s="162"/>
    </row>
    <row r="54" spans="1:30">
      <c r="A54" s="392"/>
      <c r="B54" s="192" t="str">
        <f t="shared" si="2"/>
        <v/>
      </c>
      <c r="C54" s="404"/>
      <c r="D54" s="87"/>
      <c r="E54" s="87"/>
      <c r="F54" s="87"/>
      <c r="G54" s="87"/>
      <c r="H54" s="102" t="str">
        <f t="shared" si="3"/>
        <v/>
      </c>
      <c r="I54" s="162"/>
      <c r="J54" s="162"/>
      <c r="K54" s="162"/>
      <c r="L54" s="162"/>
      <c r="M54" s="162"/>
      <c r="N54" s="162"/>
      <c r="O54" s="162"/>
      <c r="P54" s="162"/>
      <c r="Q54" s="162"/>
      <c r="R54" s="162"/>
      <c r="S54" s="162"/>
      <c r="T54" s="162"/>
      <c r="U54" s="162"/>
      <c r="V54" s="162"/>
      <c r="W54" s="162"/>
      <c r="X54" s="162"/>
      <c r="Y54" s="162"/>
      <c r="Z54" s="162"/>
      <c r="AA54" s="162"/>
      <c r="AB54" s="162"/>
      <c r="AC54" s="162"/>
      <c r="AD54" s="162"/>
    </row>
    <row r="55" spans="1:30">
      <c r="A55" s="392"/>
      <c r="B55" s="192" t="str">
        <f t="shared" si="2"/>
        <v/>
      </c>
      <c r="C55" s="404"/>
      <c r="D55" s="87"/>
      <c r="E55" s="87"/>
      <c r="F55" s="87"/>
      <c r="G55" s="87"/>
      <c r="H55" s="102" t="str">
        <f t="shared" si="3"/>
        <v/>
      </c>
      <c r="I55" s="162"/>
      <c r="J55" s="162"/>
      <c r="K55" s="162"/>
      <c r="L55" s="162"/>
      <c r="M55" s="162"/>
      <c r="N55" s="162"/>
      <c r="O55" s="162"/>
      <c r="P55" s="162"/>
      <c r="Q55" s="162"/>
      <c r="R55" s="162"/>
      <c r="S55" s="162"/>
      <c r="T55" s="162"/>
      <c r="U55" s="162"/>
      <c r="V55" s="162"/>
      <c r="W55" s="162"/>
      <c r="X55" s="162"/>
      <c r="Y55" s="162"/>
      <c r="Z55" s="162"/>
      <c r="AA55" s="162"/>
      <c r="AB55" s="162"/>
      <c r="AC55" s="162"/>
      <c r="AD55" s="162"/>
    </row>
    <row r="56" spans="1:30">
      <c r="A56" s="392"/>
      <c r="B56" s="192" t="str">
        <f t="shared" si="2"/>
        <v/>
      </c>
      <c r="C56" s="404"/>
      <c r="D56" s="87"/>
      <c r="E56" s="87"/>
      <c r="F56" s="87"/>
      <c r="G56" s="87"/>
      <c r="H56" s="102" t="str">
        <f t="shared" si="3"/>
        <v/>
      </c>
      <c r="I56" s="162"/>
      <c r="J56" s="162"/>
      <c r="K56" s="162"/>
      <c r="L56" s="162"/>
      <c r="M56" s="162"/>
      <c r="N56" s="162"/>
      <c r="O56" s="162"/>
      <c r="P56" s="162"/>
      <c r="Q56" s="162"/>
      <c r="R56" s="162"/>
      <c r="S56" s="162"/>
      <c r="T56" s="162"/>
      <c r="U56" s="162"/>
      <c r="V56" s="162"/>
      <c r="W56" s="162"/>
      <c r="X56" s="162"/>
      <c r="Y56" s="162"/>
      <c r="Z56" s="162"/>
      <c r="AA56" s="162"/>
      <c r="AB56" s="162"/>
      <c r="AC56" s="162"/>
      <c r="AD56" s="162"/>
    </row>
    <row r="57" spans="1:30">
      <c r="A57" s="392"/>
      <c r="B57" s="192" t="str">
        <f t="shared" si="2"/>
        <v/>
      </c>
      <c r="C57" s="404"/>
      <c r="D57" s="87"/>
      <c r="E57" s="87"/>
      <c r="F57" s="87"/>
      <c r="G57" s="87"/>
      <c r="H57" s="102" t="str">
        <f t="shared" si="3"/>
        <v/>
      </c>
      <c r="I57" s="162"/>
      <c r="J57" s="162"/>
      <c r="K57" s="162"/>
      <c r="L57" s="162"/>
      <c r="M57" s="162"/>
      <c r="N57" s="162"/>
      <c r="O57" s="162"/>
      <c r="P57" s="162"/>
      <c r="Q57" s="162"/>
      <c r="R57" s="162"/>
      <c r="S57" s="162"/>
      <c r="T57" s="162"/>
      <c r="U57" s="162"/>
      <c r="V57" s="162"/>
      <c r="W57" s="162"/>
      <c r="X57" s="162"/>
      <c r="Y57" s="162"/>
      <c r="Z57" s="162"/>
      <c r="AA57" s="162"/>
      <c r="AB57" s="162"/>
      <c r="AC57" s="162"/>
      <c r="AD57" s="162"/>
    </row>
    <row r="58" spans="1:30">
      <c r="A58" s="392"/>
      <c r="B58" s="192" t="str">
        <f t="shared" si="2"/>
        <v/>
      </c>
      <c r="C58" s="404"/>
      <c r="D58" s="87"/>
      <c r="E58" s="87"/>
      <c r="F58" s="87"/>
      <c r="G58" s="87"/>
      <c r="H58" s="102" t="str">
        <f t="shared" si="3"/>
        <v/>
      </c>
      <c r="I58" s="162"/>
      <c r="J58" s="162"/>
      <c r="K58" s="162"/>
      <c r="L58" s="162"/>
      <c r="M58" s="162"/>
      <c r="N58" s="162"/>
      <c r="O58" s="162"/>
      <c r="P58" s="162"/>
      <c r="Q58" s="162"/>
      <c r="R58" s="162"/>
      <c r="S58" s="162"/>
      <c r="T58" s="162"/>
      <c r="U58" s="162"/>
      <c r="V58" s="162"/>
      <c r="W58" s="162"/>
      <c r="X58" s="162"/>
      <c r="Y58" s="162"/>
      <c r="Z58" s="162"/>
      <c r="AA58" s="162"/>
      <c r="AB58" s="162"/>
      <c r="AC58" s="162"/>
      <c r="AD58" s="162"/>
    </row>
    <row r="59" spans="1:30">
      <c r="A59" s="392"/>
      <c r="B59" s="192" t="str">
        <f t="shared" si="2"/>
        <v/>
      </c>
      <c r="C59" s="404"/>
      <c r="D59" s="87"/>
      <c r="E59" s="87"/>
      <c r="F59" s="87"/>
      <c r="G59" s="87"/>
      <c r="H59" s="102" t="str">
        <f t="shared" si="3"/>
        <v/>
      </c>
      <c r="I59" s="162"/>
      <c r="J59" s="162"/>
      <c r="K59" s="162"/>
      <c r="L59" s="162"/>
      <c r="M59" s="162"/>
      <c r="N59" s="162"/>
      <c r="O59" s="162"/>
      <c r="P59" s="162"/>
      <c r="Q59" s="162"/>
      <c r="R59" s="162"/>
      <c r="S59" s="162"/>
      <c r="T59" s="162"/>
      <c r="U59" s="162"/>
      <c r="V59" s="162"/>
      <c r="W59" s="162"/>
      <c r="X59" s="162"/>
      <c r="Y59" s="162"/>
      <c r="Z59" s="162"/>
      <c r="AA59" s="162"/>
      <c r="AB59" s="162"/>
      <c r="AC59" s="162"/>
      <c r="AD59" s="162"/>
    </row>
    <row r="60" spans="1:30" ht="13.5" thickBot="1">
      <c r="A60" s="418"/>
      <c r="B60" s="79" t="str">
        <f t="shared" si="2"/>
        <v/>
      </c>
      <c r="C60" s="88"/>
      <c r="D60" s="88"/>
      <c r="E60" s="88"/>
      <c r="F60" s="88"/>
      <c r="G60" s="88"/>
      <c r="H60" s="103" t="str">
        <f t="shared" si="3"/>
        <v/>
      </c>
      <c r="I60" s="162"/>
      <c r="J60" s="162"/>
      <c r="K60" s="162"/>
      <c r="L60" s="162"/>
      <c r="M60" s="162"/>
      <c r="N60" s="162"/>
      <c r="O60" s="162"/>
      <c r="P60" s="162"/>
      <c r="Q60" s="162"/>
      <c r="R60" s="162"/>
      <c r="S60" s="162"/>
      <c r="T60" s="162"/>
      <c r="U60" s="162"/>
      <c r="V60" s="162"/>
      <c r="W60" s="162"/>
      <c r="X60" s="162"/>
      <c r="Y60" s="162"/>
      <c r="Z60" s="162"/>
      <c r="AA60" s="162"/>
      <c r="AB60" s="162"/>
      <c r="AC60" s="162"/>
      <c r="AD60" s="162"/>
    </row>
    <row r="61" spans="1:30">
      <c r="A61" s="4"/>
      <c r="B61" s="4"/>
      <c r="C61" s="63"/>
      <c r="D61" s="63"/>
      <c r="E61" s="63"/>
      <c r="F61" s="63"/>
      <c r="G61" s="63"/>
      <c r="H61" s="72"/>
      <c r="I61" s="162"/>
      <c r="J61" s="162"/>
      <c r="K61" s="162"/>
      <c r="L61" s="162"/>
      <c r="M61" s="162"/>
      <c r="N61" s="162"/>
      <c r="O61" s="162"/>
      <c r="P61" s="162"/>
      <c r="Q61" s="162"/>
      <c r="R61" s="162"/>
      <c r="S61" s="162"/>
      <c r="T61" s="162"/>
      <c r="U61" s="162"/>
      <c r="V61" s="162"/>
      <c r="W61" s="162"/>
      <c r="X61" s="162"/>
      <c r="Y61" s="162"/>
      <c r="Z61" s="162"/>
      <c r="AA61" s="162"/>
      <c r="AB61" s="162"/>
      <c r="AC61" s="162"/>
      <c r="AD61" s="162"/>
    </row>
    <row r="62" spans="1:30">
      <c r="A62" s="7" t="s">
        <v>311</v>
      </c>
      <c r="B62" s="4"/>
      <c r="C62" s="4"/>
      <c r="D62" s="4"/>
      <c r="E62" s="4"/>
      <c r="F62" s="4"/>
      <c r="G62" s="4"/>
      <c r="H62" s="4"/>
      <c r="I62" s="162"/>
      <c r="J62" s="162"/>
      <c r="K62" s="162"/>
      <c r="L62" s="162"/>
      <c r="M62" s="162"/>
      <c r="N62" s="162"/>
      <c r="O62" s="162"/>
      <c r="P62" s="162"/>
      <c r="Q62" s="162"/>
      <c r="R62" s="162"/>
      <c r="S62" s="162"/>
      <c r="T62" s="162"/>
      <c r="U62" s="162"/>
      <c r="V62" s="162"/>
      <c r="W62" s="162"/>
      <c r="X62" s="162"/>
      <c r="Y62" s="162"/>
      <c r="Z62" s="162"/>
      <c r="AA62" s="162"/>
      <c r="AB62" s="162"/>
      <c r="AC62" s="162"/>
      <c r="AD62" s="162"/>
    </row>
    <row r="63" spans="1:30">
      <c r="A63" s="68" t="s">
        <v>1</v>
      </c>
      <c r="B63" s="8"/>
      <c r="C63" s="8"/>
      <c r="D63" s="8"/>
      <c r="E63" s="8"/>
      <c r="F63" s="8"/>
      <c r="G63" s="8"/>
      <c r="H63" s="8"/>
      <c r="I63" s="162"/>
      <c r="J63" s="162"/>
      <c r="K63" s="162"/>
      <c r="L63" s="162"/>
      <c r="M63" s="162"/>
      <c r="N63" s="162"/>
      <c r="O63" s="162"/>
      <c r="P63" s="162"/>
      <c r="Q63" s="162"/>
      <c r="R63" s="162"/>
      <c r="S63" s="162"/>
      <c r="T63" s="162"/>
      <c r="U63" s="162"/>
      <c r="V63" s="162"/>
      <c r="W63" s="162"/>
      <c r="X63" s="162"/>
      <c r="Y63" s="162"/>
      <c r="Z63" s="162"/>
      <c r="AA63" s="162"/>
      <c r="AB63" s="162"/>
      <c r="AC63" s="162"/>
      <c r="AD63" s="162"/>
    </row>
    <row r="64" spans="1:30">
      <c r="A64" s="68" t="s">
        <v>1012</v>
      </c>
      <c r="B64" s="8"/>
      <c r="C64" s="8"/>
      <c r="D64" s="8"/>
      <c r="E64" s="8"/>
      <c r="F64" s="8"/>
      <c r="G64" s="8"/>
      <c r="H64" s="8"/>
      <c r="I64" s="162"/>
      <c r="J64" s="162"/>
      <c r="K64" s="162"/>
      <c r="L64" s="162"/>
      <c r="M64" s="162"/>
      <c r="N64" s="162"/>
      <c r="O64" s="162"/>
      <c r="P64" s="162"/>
      <c r="Q64" s="162"/>
      <c r="R64" s="162"/>
      <c r="S64" s="162"/>
      <c r="T64" s="162"/>
      <c r="U64" s="162"/>
      <c r="V64" s="162"/>
      <c r="W64" s="162"/>
      <c r="X64" s="162"/>
      <c r="Y64" s="162"/>
      <c r="Z64" s="162"/>
      <c r="AA64" s="162"/>
      <c r="AB64" s="162"/>
      <c r="AC64" s="162"/>
      <c r="AD64" s="162"/>
    </row>
    <row r="65" spans="1:30">
      <c r="A65" s="68" t="s">
        <v>628</v>
      </c>
      <c r="B65" s="8"/>
      <c r="C65" s="8"/>
      <c r="D65" s="8"/>
      <c r="E65" s="8"/>
      <c r="F65" s="8"/>
      <c r="G65" s="8"/>
      <c r="H65" s="8"/>
      <c r="I65" s="162"/>
      <c r="J65" s="162"/>
      <c r="K65" s="162"/>
      <c r="L65" s="162"/>
      <c r="M65" s="162"/>
      <c r="N65" s="162"/>
      <c r="O65" s="162"/>
      <c r="P65" s="162"/>
      <c r="Q65" s="162"/>
      <c r="R65" s="162"/>
      <c r="S65" s="162"/>
      <c r="T65" s="162"/>
      <c r="U65" s="162"/>
      <c r="V65" s="162"/>
      <c r="W65" s="162"/>
      <c r="X65" s="162"/>
      <c r="Y65" s="162"/>
      <c r="Z65" s="162"/>
      <c r="AA65" s="162"/>
      <c r="AB65" s="162"/>
      <c r="AC65" s="162"/>
      <c r="AD65" s="162"/>
    </row>
    <row r="66" spans="1:30" ht="39" customHeight="1">
      <c r="A66" s="1189" t="s">
        <v>581</v>
      </c>
      <c r="B66" s="1189"/>
      <c r="C66" s="1189"/>
      <c r="D66" s="1189"/>
      <c r="E66" s="1189"/>
      <c r="F66" s="1189"/>
      <c r="G66" s="1189"/>
      <c r="H66" s="1189"/>
      <c r="I66" s="162"/>
      <c r="J66" s="162"/>
      <c r="K66" s="162"/>
      <c r="L66" s="162"/>
      <c r="M66" s="162"/>
      <c r="N66" s="162"/>
      <c r="O66" s="162"/>
      <c r="P66" s="162"/>
      <c r="Q66" s="162"/>
      <c r="R66" s="162"/>
      <c r="S66" s="162"/>
      <c r="T66" s="162"/>
      <c r="U66" s="162"/>
      <c r="V66" s="162"/>
      <c r="W66" s="162"/>
      <c r="X66" s="162"/>
      <c r="Y66" s="162"/>
      <c r="Z66" s="162"/>
      <c r="AA66" s="162"/>
      <c r="AB66" s="162"/>
      <c r="AC66" s="162"/>
      <c r="AD66" s="162"/>
    </row>
    <row r="67" spans="1:30">
      <c r="A67" s="68" t="s">
        <v>312</v>
      </c>
      <c r="B67" s="8"/>
      <c r="C67" s="8"/>
      <c r="D67" s="8"/>
      <c r="E67" s="8"/>
      <c r="F67" s="8"/>
      <c r="G67" s="8"/>
      <c r="H67" s="8"/>
      <c r="I67" s="162"/>
      <c r="J67" s="162"/>
      <c r="K67" s="162"/>
      <c r="L67" s="162"/>
      <c r="M67" s="162"/>
      <c r="N67" s="162"/>
      <c r="O67" s="162"/>
      <c r="P67" s="162"/>
      <c r="Q67" s="162"/>
      <c r="R67" s="162"/>
      <c r="S67" s="162"/>
      <c r="T67" s="162"/>
      <c r="U67" s="162"/>
      <c r="V67" s="162"/>
      <c r="W67" s="162"/>
      <c r="X67" s="162"/>
      <c r="Y67" s="162"/>
      <c r="Z67" s="162"/>
      <c r="AA67" s="162"/>
      <c r="AB67" s="162"/>
      <c r="AC67" s="162"/>
      <c r="AD67" s="162"/>
    </row>
    <row r="68" spans="1:30">
      <c r="A68" s="1189" t="s">
        <v>593</v>
      </c>
      <c r="B68" s="1189"/>
      <c r="C68" s="1189"/>
      <c r="D68" s="1189"/>
      <c r="E68" s="1189"/>
      <c r="F68" s="1189"/>
      <c r="G68" s="1189"/>
      <c r="H68" s="1189"/>
      <c r="I68" s="162"/>
      <c r="J68" s="162"/>
      <c r="K68" s="162"/>
      <c r="L68" s="162"/>
      <c r="M68" s="162"/>
      <c r="N68" s="162"/>
      <c r="O68" s="162"/>
      <c r="P68" s="162"/>
      <c r="Q68" s="162"/>
      <c r="R68" s="162"/>
      <c r="S68" s="162"/>
      <c r="T68" s="162"/>
      <c r="U68" s="162"/>
      <c r="V68" s="162"/>
      <c r="W68" s="162"/>
      <c r="X68" s="162"/>
      <c r="Y68" s="162"/>
      <c r="Z68" s="162"/>
      <c r="AA68" s="162"/>
      <c r="AB68" s="162"/>
      <c r="AC68" s="162"/>
      <c r="AD68" s="162"/>
    </row>
    <row r="69" spans="1:30">
      <c r="A69" s="68" t="s">
        <v>667</v>
      </c>
      <c r="B69" s="8"/>
      <c r="C69" s="8"/>
      <c r="D69" s="8"/>
      <c r="E69" s="8"/>
      <c r="F69" s="8"/>
      <c r="G69" s="8"/>
      <c r="H69" s="8"/>
      <c r="I69" s="162"/>
      <c r="J69" s="162"/>
      <c r="K69" s="162"/>
      <c r="L69" s="162"/>
      <c r="M69" s="162"/>
      <c r="N69" s="162"/>
      <c r="O69" s="162"/>
      <c r="P69" s="162"/>
      <c r="Q69" s="162"/>
      <c r="R69" s="162"/>
      <c r="S69" s="162"/>
      <c r="T69" s="162"/>
      <c r="U69" s="162"/>
      <c r="V69" s="162"/>
      <c r="W69" s="162"/>
      <c r="X69" s="162"/>
      <c r="Y69" s="162"/>
      <c r="Z69" s="162"/>
      <c r="AA69" s="162"/>
      <c r="AB69" s="162"/>
      <c r="AC69" s="162"/>
      <c r="AD69" s="162"/>
    </row>
    <row r="70" spans="1:30">
      <c r="A70" s="4"/>
      <c r="B70" s="4"/>
      <c r="C70" s="4"/>
      <c r="D70" s="4"/>
      <c r="E70" s="4"/>
      <c r="F70" s="4"/>
      <c r="G70" s="4"/>
      <c r="H70" s="4"/>
      <c r="I70" s="162"/>
      <c r="J70" s="162"/>
      <c r="K70" s="162"/>
      <c r="L70" s="162"/>
      <c r="M70" s="162"/>
      <c r="N70" s="162"/>
      <c r="O70" s="162"/>
      <c r="P70" s="162"/>
      <c r="Q70" s="162"/>
      <c r="R70" s="162"/>
      <c r="S70" s="162"/>
      <c r="T70" s="162"/>
      <c r="U70" s="162"/>
      <c r="V70" s="162"/>
      <c r="W70" s="162"/>
      <c r="X70" s="162"/>
      <c r="Y70" s="162"/>
      <c r="Z70" s="162"/>
      <c r="AA70" s="162"/>
      <c r="AB70" s="162"/>
      <c r="AC70" s="162"/>
      <c r="AD70" s="162"/>
    </row>
    <row r="71" spans="1:30" ht="15" thickBot="1">
      <c r="A71" s="7" t="s">
        <v>98</v>
      </c>
      <c r="B71" s="4"/>
      <c r="C71" s="4"/>
      <c r="D71" s="4"/>
      <c r="E71" s="4"/>
      <c r="F71" s="4"/>
      <c r="G71" s="4"/>
      <c r="H71" s="4"/>
      <c r="I71" s="162"/>
      <c r="J71" s="162"/>
      <c r="K71" s="162"/>
      <c r="L71" s="162"/>
      <c r="M71" s="162"/>
      <c r="N71" s="162"/>
      <c r="O71" s="162"/>
      <c r="P71" s="162"/>
      <c r="Q71" s="162"/>
      <c r="R71" s="162"/>
      <c r="S71" s="162"/>
      <c r="T71" s="162"/>
      <c r="U71" s="162"/>
      <c r="V71" s="162"/>
      <c r="W71" s="162"/>
      <c r="X71" s="162"/>
      <c r="Y71" s="162"/>
      <c r="Z71" s="162"/>
      <c r="AA71" s="162"/>
      <c r="AB71" s="162"/>
      <c r="AC71" s="162"/>
      <c r="AD71" s="162"/>
    </row>
    <row r="72" spans="1:30" ht="14.25">
      <c r="A72" s="1230" t="s">
        <v>284</v>
      </c>
      <c r="B72" s="1216" t="s">
        <v>137</v>
      </c>
      <c r="C72" s="1216" t="s">
        <v>28</v>
      </c>
      <c r="D72" s="1234" t="s">
        <v>663</v>
      </c>
      <c r="E72" s="13" t="s">
        <v>111</v>
      </c>
      <c r="F72" s="1228" t="s">
        <v>108</v>
      </c>
      <c r="G72" s="1229"/>
      <c r="H72" s="14" t="s">
        <v>97</v>
      </c>
      <c r="I72" s="162"/>
      <c r="J72" s="162"/>
      <c r="K72" s="162"/>
      <c r="L72" s="162"/>
      <c r="M72" s="162"/>
      <c r="N72" s="162"/>
      <c r="O72" s="162"/>
      <c r="P72" s="162"/>
      <c r="Q72" s="162"/>
      <c r="R72" s="162"/>
      <c r="S72" s="162"/>
      <c r="T72" s="162"/>
      <c r="U72" s="162"/>
      <c r="V72" s="162"/>
      <c r="W72" s="162"/>
      <c r="X72" s="162"/>
      <c r="Y72" s="162"/>
      <c r="Z72" s="162"/>
      <c r="AA72" s="162"/>
      <c r="AB72" s="162"/>
      <c r="AC72" s="162"/>
      <c r="AD72" s="162"/>
    </row>
    <row r="73" spans="1:30">
      <c r="A73" s="1231"/>
      <c r="B73" s="1233"/>
      <c r="C73" s="1233"/>
      <c r="D73" s="1233"/>
      <c r="E73" s="19" t="s">
        <v>82</v>
      </c>
      <c r="F73" s="81" t="s">
        <v>15</v>
      </c>
      <c r="G73" s="81" t="s">
        <v>115</v>
      </c>
      <c r="H73" s="20" t="s">
        <v>400</v>
      </c>
      <c r="I73" s="162"/>
      <c r="J73" s="162"/>
      <c r="K73" s="162"/>
      <c r="L73" s="162"/>
      <c r="M73" s="162"/>
      <c r="N73" s="162"/>
      <c r="O73" s="162"/>
      <c r="P73" s="162"/>
      <c r="Q73" s="162"/>
      <c r="R73" s="162"/>
      <c r="S73" s="162"/>
      <c r="T73" s="162"/>
      <c r="U73" s="162"/>
      <c r="V73" s="162"/>
      <c r="W73" s="162"/>
      <c r="X73" s="162"/>
      <c r="Y73" s="162"/>
      <c r="Z73" s="162"/>
      <c r="AA73" s="162"/>
      <c r="AB73" s="162"/>
      <c r="AC73" s="162"/>
      <c r="AD73" s="162"/>
    </row>
    <row r="74" spans="1:30">
      <c r="A74" s="1231"/>
      <c r="B74" s="1233"/>
      <c r="C74" s="1233"/>
      <c r="D74" s="1233"/>
      <c r="E74" s="19" t="s">
        <v>174</v>
      </c>
      <c r="F74" s="19" t="s">
        <v>159</v>
      </c>
      <c r="G74" s="19" t="s">
        <v>159</v>
      </c>
      <c r="H74" s="20" t="s">
        <v>173</v>
      </c>
      <c r="I74" s="162"/>
      <c r="J74" s="162"/>
      <c r="K74" s="162"/>
      <c r="L74" s="162"/>
      <c r="M74" s="162"/>
      <c r="N74" s="162"/>
      <c r="O74" s="162"/>
      <c r="P74" s="162"/>
      <c r="Q74" s="162"/>
      <c r="R74" s="162"/>
      <c r="S74" s="162"/>
      <c r="T74" s="162"/>
      <c r="U74" s="162"/>
      <c r="V74" s="162"/>
      <c r="W74" s="162"/>
      <c r="X74" s="162"/>
      <c r="Y74" s="162"/>
      <c r="Z74" s="162"/>
      <c r="AA74" s="162"/>
      <c r="AB74" s="162"/>
      <c r="AC74" s="162"/>
      <c r="AD74" s="162"/>
    </row>
    <row r="75" spans="1:30" ht="13.5" thickBot="1">
      <c r="A75" s="1232"/>
      <c r="B75" s="1217"/>
      <c r="C75" s="1217"/>
      <c r="D75" s="1217"/>
      <c r="E75" s="16"/>
      <c r="F75" s="16" t="s">
        <v>174</v>
      </c>
      <c r="G75" s="16" t="s">
        <v>174</v>
      </c>
      <c r="H75" s="17" t="s">
        <v>174</v>
      </c>
      <c r="I75" s="162"/>
      <c r="J75" s="162"/>
      <c r="K75" s="162"/>
      <c r="L75" s="162"/>
      <c r="M75" s="162"/>
      <c r="N75" s="162"/>
      <c r="O75" s="162"/>
      <c r="P75" s="162"/>
      <c r="Q75" s="161" t="s">
        <v>17</v>
      </c>
      <c r="R75" s="162"/>
      <c r="S75" s="162"/>
      <c r="T75" s="162"/>
      <c r="U75" s="162"/>
      <c r="V75" s="162"/>
      <c r="W75" s="162"/>
      <c r="X75" s="162"/>
      <c r="Y75" s="162"/>
      <c r="Z75" s="162"/>
      <c r="AA75" s="162"/>
      <c r="AB75" s="162"/>
      <c r="AC75" s="162"/>
      <c r="AD75" s="162"/>
    </row>
    <row r="76" spans="1:30">
      <c r="A76" s="453" t="s">
        <v>16</v>
      </c>
      <c r="B76" s="454" t="s">
        <v>116</v>
      </c>
      <c r="C76" s="455" t="s">
        <v>121</v>
      </c>
      <c r="D76" s="143">
        <f t="shared" ref="D76:D163" si="4">IF(ISNA(VLOOKUP($C76,GWP,2,FALSE)),"", VLOOKUP($C76,GWP,2,FALSE))</f>
        <v>675</v>
      </c>
      <c r="E76" s="449">
        <v>1000</v>
      </c>
      <c r="F76" s="449">
        <f>0.5</f>
        <v>0.5</v>
      </c>
      <c r="G76" s="449">
        <v>0.25</v>
      </c>
      <c r="H76" s="833">
        <f>($E76*(1/100)+$F76*(0.5/100)+$G76*(80/100)*(1-70/100))*$D76</f>
        <v>6792.1875</v>
      </c>
      <c r="I76" s="162"/>
      <c r="J76" s="162"/>
      <c r="K76" s="162"/>
      <c r="L76" s="162"/>
      <c r="M76" s="162"/>
      <c r="N76" s="162"/>
      <c r="O76" s="162"/>
      <c r="P76" s="162"/>
      <c r="Q76" s="341" t="s">
        <v>116</v>
      </c>
      <c r="R76" s="341" t="s">
        <v>88</v>
      </c>
      <c r="S76" s="341" t="s">
        <v>84</v>
      </c>
      <c r="T76" s="341" t="s">
        <v>117</v>
      </c>
      <c r="U76" s="341" t="s">
        <v>118</v>
      </c>
      <c r="V76" s="341" t="s">
        <v>119</v>
      </c>
      <c r="W76" s="341" t="s">
        <v>87</v>
      </c>
      <c r="X76" s="341" t="s">
        <v>86</v>
      </c>
      <c r="Y76" s="341" t="s">
        <v>85</v>
      </c>
      <c r="Z76" s="162"/>
      <c r="AA76" s="162"/>
      <c r="AB76" s="162"/>
      <c r="AC76" s="162"/>
      <c r="AD76" s="162"/>
    </row>
    <row r="77" spans="1:30">
      <c r="A77" s="838" t="s">
        <v>1381</v>
      </c>
      <c r="B77" s="169" t="s">
        <v>116</v>
      </c>
      <c r="C77" s="169" t="s">
        <v>758</v>
      </c>
      <c r="D77" s="143">
        <f t="shared" si="4"/>
        <v>16</v>
      </c>
      <c r="E77" s="176">
        <v>1000</v>
      </c>
      <c r="F77" s="1107">
        <v>0.5</v>
      </c>
      <c r="G77" s="176">
        <v>0.25</v>
      </c>
      <c r="H77" s="172">
        <f>IF($D77="","",SUM($Q77:$Y77))</f>
        <v>161</v>
      </c>
      <c r="I77" s="162"/>
      <c r="J77" s="162"/>
      <c r="K77" s="162"/>
      <c r="L77" s="162"/>
      <c r="M77" s="162"/>
      <c r="N77" s="162"/>
      <c r="O77" s="162"/>
      <c r="P77" s="162"/>
      <c r="Q77" s="339">
        <f>IF($B77=Q76,(($E77*(1/100)+$F77*(0.5/100)+$G77*(80/100)*(1-70/100))*$D77),0)</f>
        <v>161</v>
      </c>
      <c r="R77" s="339">
        <f>IF($B77="Stand-Alone Commercial",(($E77*(3/100)+$F77*(15/100)+$G77*(80/100)*(1-70/100))*$D77),0)</f>
        <v>0</v>
      </c>
      <c r="S77" s="339">
        <f>IF($B77="Medium/Large Commercial",(($E77*(3/100)+$F77*(35/100)+$G77*(100/100)*(1-70/100))*$D77),0)</f>
        <v>0</v>
      </c>
      <c r="T77" s="339">
        <f>IF($B77="Transport Refrigeration",(($E77*(1/100)+$F77*(50/100)+$G77*(50/100)*(1-70/100))*$D77),0)</f>
        <v>0</v>
      </c>
      <c r="U77" s="339">
        <f>IF($B77="Industrial Refrigeration",(($E77*(3/100)+$F77*(25/100)+$G77*(100/100)*(1-90/100))*$D77),0)</f>
        <v>0</v>
      </c>
      <c r="V77" s="339">
        <f>IF($B77="Chillers",(($E77*(1/100)+$F77*(15/100)+$G77*(100/100)*(1-95/100))*$D77),0)</f>
        <v>0</v>
      </c>
      <c r="W77" s="339">
        <f>IF($B77="Residential/Commercial A/C",(($E77*(1/100)+$F77*(10/100)+$G77*(80/100)*(1-80/100))*$D77),0)</f>
        <v>0</v>
      </c>
      <c r="X77" s="339">
        <f>IF($B77="Car A/C Units",(($E77*(0.5/100)+$F77*(20/100)+$G77*(50/100)*(1-50/100))*$D77),0)</f>
        <v>0</v>
      </c>
      <c r="Y77" s="339">
        <f>IF($B77="Light-Duty Truck A/C Units",(($E77*(0.5/100)+$F77*(20/100)+$G77*(50/100)*(1-50/100))*$D77),0)</f>
        <v>0</v>
      </c>
      <c r="Z77" s="162"/>
      <c r="AA77" s="162"/>
      <c r="AB77" s="162"/>
      <c r="AC77" s="162"/>
      <c r="AD77" s="162"/>
    </row>
    <row r="78" spans="1:30">
      <c r="A78" s="838" t="s">
        <v>1382</v>
      </c>
      <c r="B78" s="169" t="s">
        <v>116</v>
      </c>
      <c r="C78" s="169" t="s">
        <v>121</v>
      </c>
      <c r="D78" s="143">
        <f t="shared" si="4"/>
        <v>675</v>
      </c>
      <c r="E78" s="176">
        <v>1000</v>
      </c>
      <c r="F78" s="1107">
        <v>0.5</v>
      </c>
      <c r="G78" s="176">
        <v>0.25</v>
      </c>
      <c r="H78" s="172">
        <f t="shared" ref="H78:H166" si="5">IF($D78="","",SUM($Q78:$Y78))</f>
        <v>6792.1875</v>
      </c>
      <c r="I78" s="162"/>
      <c r="J78" s="162"/>
      <c r="K78" s="162"/>
      <c r="L78" s="162"/>
      <c r="M78" s="162"/>
      <c r="N78" s="162"/>
      <c r="O78" s="162"/>
      <c r="P78" s="162"/>
      <c r="Q78" s="339">
        <f t="shared" ref="Q78:Q313" si="6">IF($B78="Domestic Refrigeration",(($E78*(1/100)+$F78*(0.5/100)+$G78*(80/100)*(1-70/100))*$D78),0)</f>
        <v>6792.1875</v>
      </c>
      <c r="R78" s="339">
        <f t="shared" ref="R78:R313" si="7">IF($B78="Stand-Alone Commercial",(($E78*(3/100)+$F78*(15/100)+$G78*(80/100)*(1-70/100))*$D78),0)</f>
        <v>0</v>
      </c>
      <c r="S78" s="339">
        <f t="shared" ref="S78:S313" si="8">IF($B78="Medium/Large Commercial",(($E78*(3/100)+$F78*(35/100)+$G78*(100/100)*(1-70/100))*$D78),0)</f>
        <v>0</v>
      </c>
      <c r="T78" s="339">
        <f t="shared" ref="T78:T313" si="9">IF($B78="Transport Refrigeration",(($E78*(1/100)+$F78*(50/100)+$G78*(50/100)*(1-70/100))*$D78),0)</f>
        <v>0</v>
      </c>
      <c r="U78" s="339">
        <f t="shared" ref="U78:U313" si="10">IF($B78="Industrial Refrigeration",(($E78*(3/100)+$F78*(25/100)+$G78*(100/100)*(1-90/100))*$D78),0)</f>
        <v>0</v>
      </c>
      <c r="V78" s="339">
        <f t="shared" ref="V78:V313" si="11">IF($B78="Chillers",(($E78*(1/100)+$F78*(15/100)+$G78*(100/100)*(1-95/100))*$D78),0)</f>
        <v>0</v>
      </c>
      <c r="W78" s="339">
        <f t="shared" ref="W78:W313" si="12">IF($B78="Residential/Commercial A/C",(($E78*(1/100)+$F78*(10/100)+$G78*(80/100)*(1-80/100))*$D78),0)</f>
        <v>0</v>
      </c>
      <c r="X78" s="339">
        <f t="shared" ref="X78:X313" si="13">IF($B78="Car A/C Units",(($E78*(0.5/100)+$F78*(20/100)+$G78*(50/100)*(1-50/100))*$D78),0)</f>
        <v>0</v>
      </c>
      <c r="Y78" s="339">
        <f t="shared" ref="Y78:Y313" si="14">IF($B78="Light-Duty Truck A/C Units",(($E78*(0.5/100)+$F78*(20/100)+$G78*(50/100)*(1-50/100))*$D78),0)</f>
        <v>0</v>
      </c>
      <c r="Z78" s="162"/>
      <c r="AA78" s="162"/>
      <c r="AB78" s="162"/>
      <c r="AC78" s="162"/>
      <c r="AD78" s="162"/>
    </row>
    <row r="79" spans="1:30">
      <c r="A79" s="838" t="s">
        <v>1383</v>
      </c>
      <c r="B79" s="169" t="s">
        <v>116</v>
      </c>
      <c r="C79" s="169" t="s">
        <v>121</v>
      </c>
      <c r="D79" s="143">
        <f t="shared" si="4"/>
        <v>675</v>
      </c>
      <c r="E79" s="176">
        <v>1000</v>
      </c>
      <c r="F79" s="1107">
        <v>0.5</v>
      </c>
      <c r="G79" s="176">
        <v>0.25</v>
      </c>
      <c r="H79" s="172">
        <f t="shared" si="5"/>
        <v>6792.1875</v>
      </c>
      <c r="I79" s="162"/>
      <c r="J79" s="162"/>
      <c r="K79" s="162"/>
      <c r="L79" s="162"/>
      <c r="M79" s="162"/>
      <c r="N79" s="162"/>
      <c r="O79" s="162"/>
      <c r="P79" s="162"/>
      <c r="Q79" s="339">
        <f t="shared" si="6"/>
        <v>6792.1875</v>
      </c>
      <c r="R79" s="339">
        <f t="shared" si="7"/>
        <v>0</v>
      </c>
      <c r="S79" s="339">
        <f t="shared" si="8"/>
        <v>0</v>
      </c>
      <c r="T79" s="339">
        <f t="shared" si="9"/>
        <v>0</v>
      </c>
      <c r="U79" s="339">
        <f t="shared" si="10"/>
        <v>0</v>
      </c>
      <c r="V79" s="339">
        <f t="shared" si="11"/>
        <v>0</v>
      </c>
      <c r="W79" s="339">
        <f t="shared" si="12"/>
        <v>0</v>
      </c>
      <c r="X79" s="339">
        <f t="shared" si="13"/>
        <v>0</v>
      </c>
      <c r="Y79" s="339">
        <f t="shared" si="14"/>
        <v>0</v>
      </c>
      <c r="Z79" s="162"/>
      <c r="AA79" s="162"/>
      <c r="AB79" s="162"/>
      <c r="AC79" s="162"/>
      <c r="AD79" s="162"/>
    </row>
    <row r="80" spans="1:30">
      <c r="A80" s="838" t="s">
        <v>1384</v>
      </c>
      <c r="B80" s="169" t="s">
        <v>116</v>
      </c>
      <c r="C80" s="169" t="s">
        <v>121</v>
      </c>
      <c r="D80" s="143">
        <f t="shared" si="4"/>
        <v>675</v>
      </c>
      <c r="E80" s="176">
        <v>1000</v>
      </c>
      <c r="F80" s="1107">
        <v>0.5</v>
      </c>
      <c r="G80" s="176">
        <v>0.25</v>
      </c>
      <c r="H80" s="172">
        <f t="shared" si="5"/>
        <v>6792.1875</v>
      </c>
      <c r="I80" s="162"/>
      <c r="J80" s="162"/>
      <c r="K80" s="162"/>
      <c r="L80" s="162"/>
      <c r="M80" s="162"/>
      <c r="N80" s="162"/>
      <c r="O80" s="162"/>
      <c r="P80" s="162"/>
      <c r="Q80" s="339">
        <f t="shared" si="6"/>
        <v>6792.1875</v>
      </c>
      <c r="R80" s="339">
        <f t="shared" si="7"/>
        <v>0</v>
      </c>
      <c r="S80" s="339">
        <f t="shared" si="8"/>
        <v>0</v>
      </c>
      <c r="T80" s="339">
        <f t="shared" si="9"/>
        <v>0</v>
      </c>
      <c r="U80" s="339">
        <f t="shared" si="10"/>
        <v>0</v>
      </c>
      <c r="V80" s="339">
        <f t="shared" si="11"/>
        <v>0</v>
      </c>
      <c r="W80" s="339">
        <f t="shared" si="12"/>
        <v>0</v>
      </c>
      <c r="X80" s="339">
        <f t="shared" si="13"/>
        <v>0</v>
      </c>
      <c r="Y80" s="339">
        <f t="shared" si="14"/>
        <v>0</v>
      </c>
      <c r="Z80" s="162"/>
      <c r="AA80" s="162"/>
      <c r="AB80" s="162"/>
      <c r="AC80" s="162"/>
      <c r="AD80" s="162"/>
    </row>
    <row r="81" spans="1:30">
      <c r="A81" s="838" t="s">
        <v>1385</v>
      </c>
      <c r="B81" s="169" t="s">
        <v>116</v>
      </c>
      <c r="C81" s="169" t="s">
        <v>121</v>
      </c>
      <c r="D81" s="143">
        <f t="shared" si="4"/>
        <v>675</v>
      </c>
      <c r="E81" s="176">
        <v>1000</v>
      </c>
      <c r="F81" s="1107">
        <v>0.5</v>
      </c>
      <c r="G81" s="176">
        <v>0.25</v>
      </c>
      <c r="H81" s="172">
        <f t="shared" si="5"/>
        <v>6792.1875</v>
      </c>
      <c r="I81" s="162"/>
      <c r="J81" s="162"/>
      <c r="K81" s="162"/>
      <c r="L81" s="162"/>
      <c r="M81" s="162"/>
      <c r="N81" s="162"/>
      <c r="O81" s="162"/>
      <c r="P81" s="162"/>
      <c r="Q81" s="339">
        <f t="shared" si="6"/>
        <v>6792.1875</v>
      </c>
      <c r="R81" s="339">
        <f t="shared" si="7"/>
        <v>0</v>
      </c>
      <c r="S81" s="339">
        <f t="shared" si="8"/>
        <v>0</v>
      </c>
      <c r="T81" s="339">
        <f t="shared" si="9"/>
        <v>0</v>
      </c>
      <c r="U81" s="339">
        <f t="shared" si="10"/>
        <v>0</v>
      </c>
      <c r="V81" s="339">
        <f t="shared" si="11"/>
        <v>0</v>
      </c>
      <c r="W81" s="339">
        <f t="shared" si="12"/>
        <v>0</v>
      </c>
      <c r="X81" s="339">
        <f t="shared" si="13"/>
        <v>0</v>
      </c>
      <c r="Y81" s="339">
        <f t="shared" si="14"/>
        <v>0</v>
      </c>
      <c r="Z81" s="162"/>
      <c r="AA81" s="162"/>
      <c r="AB81" s="162"/>
      <c r="AC81" s="162"/>
      <c r="AD81" s="162"/>
    </row>
    <row r="82" spans="1:30">
      <c r="A82" s="838" t="s">
        <v>1386</v>
      </c>
      <c r="B82" s="169" t="s">
        <v>116</v>
      </c>
      <c r="C82" s="169" t="s">
        <v>121</v>
      </c>
      <c r="D82" s="143">
        <f t="shared" si="4"/>
        <v>675</v>
      </c>
      <c r="E82" s="176">
        <v>1000</v>
      </c>
      <c r="F82" s="1107">
        <v>0.5</v>
      </c>
      <c r="G82" s="176">
        <v>0.25</v>
      </c>
      <c r="H82" s="172">
        <f t="shared" si="5"/>
        <v>6792.1875</v>
      </c>
      <c r="I82" s="162"/>
      <c r="J82" s="162"/>
      <c r="K82" s="162"/>
      <c r="L82" s="162"/>
      <c r="M82" s="162"/>
      <c r="N82" s="162"/>
      <c r="O82" s="162"/>
      <c r="P82" s="162"/>
      <c r="Q82" s="339">
        <f t="shared" si="6"/>
        <v>6792.1875</v>
      </c>
      <c r="R82" s="339">
        <f t="shared" si="7"/>
        <v>0</v>
      </c>
      <c r="S82" s="339">
        <f t="shared" si="8"/>
        <v>0</v>
      </c>
      <c r="T82" s="339">
        <f t="shared" si="9"/>
        <v>0</v>
      </c>
      <c r="U82" s="339">
        <f t="shared" si="10"/>
        <v>0</v>
      </c>
      <c r="V82" s="339">
        <f t="shared" si="11"/>
        <v>0</v>
      </c>
      <c r="W82" s="339">
        <f t="shared" si="12"/>
        <v>0</v>
      </c>
      <c r="X82" s="339">
        <f t="shared" si="13"/>
        <v>0</v>
      </c>
      <c r="Y82" s="339">
        <f t="shared" si="14"/>
        <v>0</v>
      </c>
      <c r="Z82" s="162"/>
      <c r="AA82" s="162"/>
      <c r="AB82" s="162"/>
      <c r="AC82" s="162"/>
      <c r="AD82" s="162"/>
    </row>
    <row r="83" spans="1:30">
      <c r="A83" s="838" t="s">
        <v>1387</v>
      </c>
      <c r="B83" s="169" t="s">
        <v>116</v>
      </c>
      <c r="C83" s="169" t="s">
        <v>121</v>
      </c>
      <c r="D83" s="143">
        <f t="shared" si="4"/>
        <v>675</v>
      </c>
      <c r="E83" s="176">
        <v>1000</v>
      </c>
      <c r="F83" s="1107">
        <v>0.5</v>
      </c>
      <c r="G83" s="176">
        <v>0.25</v>
      </c>
      <c r="H83" s="172">
        <f t="shared" si="5"/>
        <v>6792.1875</v>
      </c>
      <c r="I83" s="162"/>
      <c r="J83" s="162"/>
      <c r="K83" s="162"/>
      <c r="L83" s="162"/>
      <c r="M83" s="162"/>
      <c r="N83" s="162"/>
      <c r="O83" s="162"/>
      <c r="P83" s="162"/>
      <c r="Q83" s="339">
        <f t="shared" si="6"/>
        <v>6792.1875</v>
      </c>
      <c r="R83" s="339">
        <f t="shared" si="7"/>
        <v>0</v>
      </c>
      <c r="S83" s="339">
        <f t="shared" si="8"/>
        <v>0</v>
      </c>
      <c r="T83" s="339">
        <f t="shared" si="9"/>
        <v>0</v>
      </c>
      <c r="U83" s="339">
        <f t="shared" si="10"/>
        <v>0</v>
      </c>
      <c r="V83" s="339">
        <f t="shared" si="11"/>
        <v>0</v>
      </c>
      <c r="W83" s="339">
        <f t="shared" si="12"/>
        <v>0</v>
      </c>
      <c r="X83" s="339">
        <f t="shared" si="13"/>
        <v>0</v>
      </c>
      <c r="Y83" s="339">
        <f t="shared" si="14"/>
        <v>0</v>
      </c>
      <c r="Z83" s="162"/>
      <c r="AA83" s="162"/>
      <c r="AB83" s="162"/>
      <c r="AC83" s="162"/>
      <c r="AD83" s="162"/>
    </row>
    <row r="84" spans="1:30">
      <c r="A84" s="838" t="s">
        <v>1388</v>
      </c>
      <c r="B84" s="169" t="s">
        <v>116</v>
      </c>
      <c r="C84" s="169" t="s">
        <v>121</v>
      </c>
      <c r="D84" s="143">
        <f t="shared" si="4"/>
        <v>675</v>
      </c>
      <c r="E84" s="176">
        <v>1000</v>
      </c>
      <c r="F84" s="1107">
        <v>0.5</v>
      </c>
      <c r="G84" s="176">
        <v>0.25</v>
      </c>
      <c r="H84" s="172">
        <f t="shared" si="5"/>
        <v>6792.1875</v>
      </c>
      <c r="I84" s="162"/>
      <c r="J84" s="162"/>
      <c r="K84" s="162"/>
      <c r="L84" s="162"/>
      <c r="M84" s="162"/>
      <c r="N84" s="162"/>
      <c r="O84" s="162"/>
      <c r="P84" s="162"/>
      <c r="Q84" s="339">
        <f t="shared" si="6"/>
        <v>6792.1875</v>
      </c>
      <c r="R84" s="339">
        <f t="shared" si="7"/>
        <v>0</v>
      </c>
      <c r="S84" s="339">
        <f t="shared" si="8"/>
        <v>0</v>
      </c>
      <c r="T84" s="339">
        <f t="shared" si="9"/>
        <v>0</v>
      </c>
      <c r="U84" s="339">
        <f t="shared" si="10"/>
        <v>0</v>
      </c>
      <c r="V84" s="339">
        <f t="shared" si="11"/>
        <v>0</v>
      </c>
      <c r="W84" s="339">
        <f t="shared" si="12"/>
        <v>0</v>
      </c>
      <c r="X84" s="339">
        <f t="shared" si="13"/>
        <v>0</v>
      </c>
      <c r="Y84" s="339">
        <f t="shared" si="14"/>
        <v>0</v>
      </c>
      <c r="Z84" s="162"/>
      <c r="AA84" s="162"/>
      <c r="AB84" s="162"/>
      <c r="AC84" s="162"/>
      <c r="AD84" s="162"/>
    </row>
    <row r="85" spans="1:30">
      <c r="A85" s="838" t="s">
        <v>1389</v>
      </c>
      <c r="B85" s="169" t="s">
        <v>116</v>
      </c>
      <c r="C85" s="169" t="s">
        <v>121</v>
      </c>
      <c r="D85" s="143">
        <f t="shared" si="4"/>
        <v>675</v>
      </c>
      <c r="E85" s="176">
        <v>1000</v>
      </c>
      <c r="F85" s="1107">
        <v>0.5</v>
      </c>
      <c r="G85" s="176">
        <v>0.25</v>
      </c>
      <c r="H85" s="172">
        <f t="shared" si="5"/>
        <v>6792.1875</v>
      </c>
      <c r="I85" s="162"/>
      <c r="J85" s="162"/>
      <c r="K85" s="162"/>
      <c r="L85" s="162"/>
      <c r="M85" s="162"/>
      <c r="N85" s="162"/>
      <c r="O85" s="162"/>
      <c r="P85" s="162"/>
      <c r="Q85" s="339">
        <f t="shared" si="6"/>
        <v>6792.1875</v>
      </c>
      <c r="R85" s="339">
        <f t="shared" si="7"/>
        <v>0</v>
      </c>
      <c r="S85" s="339">
        <f t="shared" si="8"/>
        <v>0</v>
      </c>
      <c r="T85" s="339">
        <f t="shared" si="9"/>
        <v>0</v>
      </c>
      <c r="U85" s="339">
        <f t="shared" si="10"/>
        <v>0</v>
      </c>
      <c r="V85" s="339">
        <f t="shared" si="11"/>
        <v>0</v>
      </c>
      <c r="W85" s="339">
        <f t="shared" si="12"/>
        <v>0</v>
      </c>
      <c r="X85" s="339">
        <f t="shared" si="13"/>
        <v>0</v>
      </c>
      <c r="Y85" s="339">
        <f t="shared" si="14"/>
        <v>0</v>
      </c>
      <c r="Z85" s="162"/>
      <c r="AA85" s="162"/>
      <c r="AB85" s="162"/>
      <c r="AC85" s="162"/>
      <c r="AD85" s="162"/>
    </row>
    <row r="86" spans="1:30">
      <c r="A86" s="838" t="s">
        <v>1390</v>
      </c>
      <c r="B86" s="169" t="s">
        <v>116</v>
      </c>
      <c r="C86" s="169" t="s">
        <v>121</v>
      </c>
      <c r="D86" s="143">
        <f t="shared" si="4"/>
        <v>675</v>
      </c>
      <c r="E86" s="176">
        <v>1000</v>
      </c>
      <c r="F86" s="1107">
        <v>0.5</v>
      </c>
      <c r="G86" s="176">
        <v>0.25</v>
      </c>
      <c r="H86" s="172">
        <f t="shared" si="5"/>
        <v>6792.1875</v>
      </c>
      <c r="I86" s="162"/>
      <c r="J86" s="162"/>
      <c r="K86" s="162"/>
      <c r="L86" s="162"/>
      <c r="M86" s="162"/>
      <c r="N86" s="162"/>
      <c r="O86" s="162"/>
      <c r="P86" s="162"/>
      <c r="Q86" s="339">
        <f t="shared" si="6"/>
        <v>6792.1875</v>
      </c>
      <c r="R86" s="339">
        <f t="shared" si="7"/>
        <v>0</v>
      </c>
      <c r="S86" s="339">
        <f t="shared" si="8"/>
        <v>0</v>
      </c>
      <c r="T86" s="339">
        <f t="shared" si="9"/>
        <v>0</v>
      </c>
      <c r="U86" s="339">
        <f t="shared" si="10"/>
        <v>0</v>
      </c>
      <c r="V86" s="339">
        <f t="shared" si="11"/>
        <v>0</v>
      </c>
      <c r="W86" s="339">
        <f t="shared" si="12"/>
        <v>0</v>
      </c>
      <c r="X86" s="339">
        <f t="shared" si="13"/>
        <v>0</v>
      </c>
      <c r="Y86" s="339">
        <f t="shared" si="14"/>
        <v>0</v>
      </c>
      <c r="Z86" s="162"/>
      <c r="AA86" s="162"/>
      <c r="AB86" s="162"/>
      <c r="AC86" s="162"/>
      <c r="AD86" s="162"/>
    </row>
    <row r="87" spans="1:30">
      <c r="A87" s="838" t="s">
        <v>1391</v>
      </c>
      <c r="B87" s="169" t="s">
        <v>116</v>
      </c>
      <c r="C87" s="169" t="s">
        <v>121</v>
      </c>
      <c r="D87" s="143">
        <f t="shared" si="4"/>
        <v>675</v>
      </c>
      <c r="E87" s="176">
        <v>1000</v>
      </c>
      <c r="F87" s="1107">
        <v>0.5</v>
      </c>
      <c r="G87" s="176">
        <v>0.25</v>
      </c>
      <c r="H87" s="172">
        <f t="shared" si="5"/>
        <v>6792.1875</v>
      </c>
      <c r="I87" s="162"/>
      <c r="J87" s="162"/>
      <c r="K87" s="162"/>
      <c r="L87" s="162"/>
      <c r="M87" s="162"/>
      <c r="N87" s="162"/>
      <c r="O87" s="162"/>
      <c r="P87" s="162"/>
      <c r="Q87" s="339">
        <f t="shared" si="6"/>
        <v>6792.1875</v>
      </c>
      <c r="R87" s="339">
        <f t="shared" si="7"/>
        <v>0</v>
      </c>
      <c r="S87" s="339">
        <f t="shared" si="8"/>
        <v>0</v>
      </c>
      <c r="T87" s="339">
        <f t="shared" si="9"/>
        <v>0</v>
      </c>
      <c r="U87" s="339">
        <f t="shared" si="10"/>
        <v>0</v>
      </c>
      <c r="V87" s="339">
        <f t="shared" si="11"/>
        <v>0</v>
      </c>
      <c r="W87" s="339">
        <f t="shared" si="12"/>
        <v>0</v>
      </c>
      <c r="X87" s="339">
        <f t="shared" si="13"/>
        <v>0</v>
      </c>
      <c r="Y87" s="339">
        <f t="shared" si="14"/>
        <v>0</v>
      </c>
      <c r="Z87" s="162"/>
      <c r="AA87" s="162"/>
      <c r="AB87" s="162"/>
      <c r="AC87" s="162"/>
      <c r="AD87" s="162"/>
    </row>
    <row r="88" spans="1:30">
      <c r="A88" s="838" t="s">
        <v>1392</v>
      </c>
      <c r="B88" s="169" t="s">
        <v>116</v>
      </c>
      <c r="C88" s="169" t="s">
        <v>121</v>
      </c>
      <c r="D88" s="143">
        <f t="shared" si="4"/>
        <v>675</v>
      </c>
      <c r="E88" s="176">
        <v>1000</v>
      </c>
      <c r="F88" s="1107">
        <v>0.5</v>
      </c>
      <c r="G88" s="176">
        <v>0.25</v>
      </c>
      <c r="H88" s="172">
        <f t="shared" si="5"/>
        <v>6792.1875</v>
      </c>
      <c r="I88" s="162"/>
      <c r="J88" s="162"/>
      <c r="K88" s="162"/>
      <c r="L88" s="162"/>
      <c r="M88" s="162"/>
      <c r="N88" s="162"/>
      <c r="O88" s="162"/>
      <c r="P88" s="162"/>
      <c r="Q88" s="339">
        <f t="shared" si="6"/>
        <v>6792.1875</v>
      </c>
      <c r="R88" s="339">
        <f t="shared" si="7"/>
        <v>0</v>
      </c>
      <c r="S88" s="339">
        <f t="shared" si="8"/>
        <v>0</v>
      </c>
      <c r="T88" s="339">
        <f t="shared" si="9"/>
        <v>0</v>
      </c>
      <c r="U88" s="339">
        <f t="shared" si="10"/>
        <v>0</v>
      </c>
      <c r="V88" s="339">
        <f t="shared" si="11"/>
        <v>0</v>
      </c>
      <c r="W88" s="339">
        <f t="shared" si="12"/>
        <v>0</v>
      </c>
      <c r="X88" s="339">
        <f t="shared" si="13"/>
        <v>0</v>
      </c>
      <c r="Y88" s="339">
        <f t="shared" si="14"/>
        <v>0</v>
      </c>
      <c r="Z88" s="162"/>
      <c r="AA88" s="162"/>
      <c r="AB88" s="162"/>
      <c r="AC88" s="162"/>
      <c r="AD88" s="162"/>
    </row>
    <row r="89" spans="1:30">
      <c r="A89" s="838" t="s">
        <v>1393</v>
      </c>
      <c r="B89" s="169" t="s">
        <v>116</v>
      </c>
      <c r="C89" s="169" t="s">
        <v>121</v>
      </c>
      <c r="D89" s="143">
        <f t="shared" si="4"/>
        <v>675</v>
      </c>
      <c r="E89" s="176">
        <v>1000</v>
      </c>
      <c r="F89" s="1107">
        <v>0.5</v>
      </c>
      <c r="G89" s="176">
        <v>0.25</v>
      </c>
      <c r="H89" s="172">
        <f t="shared" si="5"/>
        <v>6792.1875</v>
      </c>
      <c r="I89" s="162"/>
      <c r="J89" s="162"/>
      <c r="K89" s="162"/>
      <c r="L89" s="162"/>
      <c r="M89" s="162"/>
      <c r="N89" s="162"/>
      <c r="O89" s="162"/>
      <c r="P89" s="162"/>
      <c r="Q89" s="339">
        <f t="shared" si="6"/>
        <v>6792.1875</v>
      </c>
      <c r="R89" s="339">
        <f t="shared" si="7"/>
        <v>0</v>
      </c>
      <c r="S89" s="339">
        <f t="shared" si="8"/>
        <v>0</v>
      </c>
      <c r="T89" s="339">
        <f t="shared" si="9"/>
        <v>0</v>
      </c>
      <c r="U89" s="339">
        <f t="shared" si="10"/>
        <v>0</v>
      </c>
      <c r="V89" s="339">
        <f t="shared" si="11"/>
        <v>0</v>
      </c>
      <c r="W89" s="339">
        <f t="shared" si="12"/>
        <v>0</v>
      </c>
      <c r="X89" s="339">
        <f t="shared" si="13"/>
        <v>0</v>
      </c>
      <c r="Y89" s="339">
        <f t="shared" si="14"/>
        <v>0</v>
      </c>
      <c r="Z89" s="162"/>
      <c r="AA89" s="162"/>
      <c r="AB89" s="162"/>
      <c r="AC89" s="162"/>
      <c r="AD89" s="162"/>
    </row>
    <row r="90" spans="1:30">
      <c r="A90" s="838" t="s">
        <v>1394</v>
      </c>
      <c r="B90" s="169" t="s">
        <v>116</v>
      </c>
      <c r="C90" s="169" t="s">
        <v>121</v>
      </c>
      <c r="D90" s="143">
        <f t="shared" si="4"/>
        <v>675</v>
      </c>
      <c r="E90" s="176">
        <v>1000</v>
      </c>
      <c r="F90" s="1107">
        <v>0.5</v>
      </c>
      <c r="G90" s="176">
        <v>0.25</v>
      </c>
      <c r="H90" s="172">
        <f t="shared" si="5"/>
        <v>6792.1875</v>
      </c>
      <c r="I90" s="162"/>
      <c r="J90" s="162"/>
      <c r="K90" s="162"/>
      <c r="L90" s="162"/>
      <c r="M90" s="162"/>
      <c r="N90" s="162"/>
      <c r="O90" s="162"/>
      <c r="P90" s="162"/>
      <c r="Q90" s="339">
        <f>IF($B90="Domestic Refrigeration",(($E90*(1/100)+$F90*(0.5/100)+$G90*(80/100)*(1-70/100))*$D90),0)</f>
        <v>6792.1875</v>
      </c>
      <c r="R90" s="339">
        <f t="shared" si="7"/>
        <v>0</v>
      </c>
      <c r="S90" s="339">
        <f t="shared" si="8"/>
        <v>0</v>
      </c>
      <c r="T90" s="339">
        <f t="shared" si="9"/>
        <v>0</v>
      </c>
      <c r="U90" s="339">
        <f t="shared" si="10"/>
        <v>0</v>
      </c>
      <c r="V90" s="339">
        <f t="shared" si="11"/>
        <v>0</v>
      </c>
      <c r="W90" s="339">
        <f t="shared" si="12"/>
        <v>0</v>
      </c>
      <c r="X90" s="339">
        <f t="shared" si="13"/>
        <v>0</v>
      </c>
      <c r="Y90" s="339">
        <f t="shared" si="14"/>
        <v>0</v>
      </c>
      <c r="Z90" s="162"/>
      <c r="AA90" s="162"/>
      <c r="AB90" s="162"/>
      <c r="AC90" s="162"/>
      <c r="AD90" s="162"/>
    </row>
    <row r="91" spans="1:30">
      <c r="A91" s="838" t="s">
        <v>1395</v>
      </c>
      <c r="B91" s="169" t="s">
        <v>116</v>
      </c>
      <c r="C91" s="169" t="s">
        <v>121</v>
      </c>
      <c r="D91" s="143">
        <f t="shared" si="4"/>
        <v>675</v>
      </c>
      <c r="E91" s="176">
        <v>1000</v>
      </c>
      <c r="F91" s="1107">
        <v>0.5</v>
      </c>
      <c r="G91" s="176">
        <v>0.25</v>
      </c>
      <c r="H91" s="172">
        <f t="shared" si="5"/>
        <v>6792.1875</v>
      </c>
      <c r="I91" s="162"/>
      <c r="J91" s="162"/>
      <c r="K91" s="162"/>
      <c r="L91" s="162"/>
      <c r="M91" s="162"/>
      <c r="N91" s="162"/>
      <c r="O91" s="162"/>
      <c r="P91" s="162"/>
      <c r="Q91" s="339">
        <f t="shared" si="6"/>
        <v>6792.1875</v>
      </c>
      <c r="R91" s="339">
        <f t="shared" si="7"/>
        <v>0</v>
      </c>
      <c r="S91" s="339">
        <f t="shared" si="8"/>
        <v>0</v>
      </c>
      <c r="T91" s="339">
        <f t="shared" si="9"/>
        <v>0</v>
      </c>
      <c r="U91" s="339">
        <f t="shared" si="10"/>
        <v>0</v>
      </c>
      <c r="V91" s="339">
        <f t="shared" si="11"/>
        <v>0</v>
      </c>
      <c r="W91" s="339">
        <f t="shared" si="12"/>
        <v>0</v>
      </c>
      <c r="X91" s="339">
        <f t="shared" si="13"/>
        <v>0</v>
      </c>
      <c r="Y91" s="339">
        <f t="shared" si="14"/>
        <v>0</v>
      </c>
      <c r="Z91" s="162"/>
      <c r="AA91" s="162"/>
      <c r="AB91" s="162"/>
      <c r="AC91" s="162"/>
      <c r="AD91" s="162"/>
    </row>
    <row r="92" spans="1:30">
      <c r="A92" s="838" t="s">
        <v>1396</v>
      </c>
      <c r="B92" s="169" t="s">
        <v>116</v>
      </c>
      <c r="C92" s="169" t="s">
        <v>121</v>
      </c>
      <c r="D92" s="143">
        <f t="shared" si="4"/>
        <v>675</v>
      </c>
      <c r="E92" s="176">
        <v>1000</v>
      </c>
      <c r="F92" s="1107">
        <v>0.5</v>
      </c>
      <c r="G92" s="176">
        <v>0.25</v>
      </c>
      <c r="H92" s="172">
        <f t="shared" si="5"/>
        <v>6792.1875</v>
      </c>
      <c r="I92" s="162"/>
      <c r="J92" s="162"/>
      <c r="K92" s="162"/>
      <c r="L92" s="162"/>
      <c r="M92" s="162"/>
      <c r="N92" s="162"/>
      <c r="O92" s="162"/>
      <c r="P92" s="162"/>
      <c r="Q92" s="339">
        <f t="shared" si="6"/>
        <v>6792.1875</v>
      </c>
      <c r="R92" s="339">
        <f t="shared" si="7"/>
        <v>0</v>
      </c>
      <c r="S92" s="339">
        <f t="shared" si="8"/>
        <v>0</v>
      </c>
      <c r="T92" s="339">
        <f t="shared" si="9"/>
        <v>0</v>
      </c>
      <c r="U92" s="339">
        <f t="shared" si="10"/>
        <v>0</v>
      </c>
      <c r="V92" s="339">
        <f t="shared" si="11"/>
        <v>0</v>
      </c>
      <c r="W92" s="339">
        <f t="shared" si="12"/>
        <v>0</v>
      </c>
      <c r="X92" s="339">
        <f t="shared" si="13"/>
        <v>0</v>
      </c>
      <c r="Y92" s="339">
        <f t="shared" si="14"/>
        <v>0</v>
      </c>
      <c r="Z92" s="162"/>
      <c r="AA92" s="162"/>
      <c r="AB92" s="162"/>
      <c r="AC92" s="162"/>
      <c r="AD92" s="162"/>
    </row>
    <row r="93" spans="1:30">
      <c r="A93" s="838" t="s">
        <v>1397</v>
      </c>
      <c r="B93" s="169" t="s">
        <v>116</v>
      </c>
      <c r="C93" s="169" t="s">
        <v>121</v>
      </c>
      <c r="D93" s="143">
        <f t="shared" si="4"/>
        <v>675</v>
      </c>
      <c r="E93" s="176">
        <v>1000</v>
      </c>
      <c r="F93" s="1107">
        <v>0.5</v>
      </c>
      <c r="G93" s="176">
        <v>0.25</v>
      </c>
      <c r="H93" s="172">
        <f t="shared" si="5"/>
        <v>6792.1875</v>
      </c>
      <c r="I93" s="162"/>
      <c r="J93" s="162"/>
      <c r="K93" s="162"/>
      <c r="L93" s="162"/>
      <c r="M93" s="162"/>
      <c r="N93" s="162"/>
      <c r="O93" s="162"/>
      <c r="P93" s="162"/>
      <c r="Q93" s="339">
        <f t="shared" si="6"/>
        <v>6792.1875</v>
      </c>
      <c r="R93" s="339">
        <f t="shared" si="7"/>
        <v>0</v>
      </c>
      <c r="S93" s="339">
        <f t="shared" si="8"/>
        <v>0</v>
      </c>
      <c r="T93" s="339">
        <f t="shared" si="9"/>
        <v>0</v>
      </c>
      <c r="U93" s="339">
        <f t="shared" si="10"/>
        <v>0</v>
      </c>
      <c r="V93" s="339">
        <f t="shared" si="11"/>
        <v>0</v>
      </c>
      <c r="W93" s="339">
        <f t="shared" si="12"/>
        <v>0</v>
      </c>
      <c r="X93" s="339">
        <f t="shared" si="13"/>
        <v>0</v>
      </c>
      <c r="Y93" s="339">
        <f t="shared" si="14"/>
        <v>0</v>
      </c>
      <c r="Z93" s="162"/>
      <c r="AA93" s="162"/>
      <c r="AB93" s="162"/>
      <c r="AC93" s="162"/>
      <c r="AD93" s="162"/>
    </row>
    <row r="94" spans="1:30">
      <c r="A94" s="838" t="s">
        <v>1398</v>
      </c>
      <c r="B94" s="169" t="s">
        <v>116</v>
      </c>
      <c r="C94" s="169" t="s">
        <v>121</v>
      </c>
      <c r="D94" s="143">
        <f t="shared" si="4"/>
        <v>675</v>
      </c>
      <c r="E94" s="176">
        <v>1000</v>
      </c>
      <c r="F94" s="1107">
        <v>0.5</v>
      </c>
      <c r="G94" s="176">
        <v>0.25</v>
      </c>
      <c r="H94" s="172">
        <f t="shared" si="5"/>
        <v>6792.1875</v>
      </c>
      <c r="I94" s="162"/>
      <c r="J94" s="162"/>
      <c r="K94" s="227"/>
      <c r="L94" s="227"/>
      <c r="M94" s="162"/>
      <c r="N94" s="162"/>
      <c r="O94" s="162"/>
      <c r="P94" s="162"/>
      <c r="Q94" s="339">
        <f t="shared" si="6"/>
        <v>6792.1875</v>
      </c>
      <c r="R94" s="339">
        <f t="shared" si="7"/>
        <v>0</v>
      </c>
      <c r="S94" s="339">
        <f t="shared" si="8"/>
        <v>0</v>
      </c>
      <c r="T94" s="339">
        <f t="shared" si="9"/>
        <v>0</v>
      </c>
      <c r="U94" s="339">
        <f t="shared" si="10"/>
        <v>0</v>
      </c>
      <c r="V94" s="339">
        <f t="shared" si="11"/>
        <v>0</v>
      </c>
      <c r="W94" s="339">
        <f t="shared" si="12"/>
        <v>0</v>
      </c>
      <c r="X94" s="339">
        <f t="shared" si="13"/>
        <v>0</v>
      </c>
      <c r="Y94" s="339">
        <f t="shared" si="14"/>
        <v>0</v>
      </c>
      <c r="Z94" s="162"/>
      <c r="AA94" s="162"/>
      <c r="AB94" s="162"/>
      <c r="AC94" s="162"/>
      <c r="AD94" s="162"/>
    </row>
    <row r="95" spans="1:30">
      <c r="A95" s="838" t="s">
        <v>1399</v>
      </c>
      <c r="B95" s="169" t="s">
        <v>116</v>
      </c>
      <c r="C95" s="169" t="s">
        <v>121</v>
      </c>
      <c r="D95" s="143">
        <f t="shared" si="4"/>
        <v>675</v>
      </c>
      <c r="E95" s="176">
        <v>1000</v>
      </c>
      <c r="F95" s="1107">
        <v>0.5</v>
      </c>
      <c r="G95" s="176">
        <v>0.25</v>
      </c>
      <c r="H95" s="172">
        <f t="shared" si="5"/>
        <v>6792.1875</v>
      </c>
      <c r="I95" s="162"/>
      <c r="J95" s="162"/>
      <c r="K95" s="227"/>
      <c r="L95" s="162"/>
      <c r="M95" s="162"/>
      <c r="N95" s="162"/>
      <c r="O95" s="162"/>
      <c r="P95" s="162"/>
      <c r="Q95" s="339">
        <f t="shared" si="6"/>
        <v>6792.1875</v>
      </c>
      <c r="R95" s="339">
        <f t="shared" si="7"/>
        <v>0</v>
      </c>
      <c r="S95" s="339">
        <f t="shared" si="8"/>
        <v>0</v>
      </c>
      <c r="T95" s="339">
        <f t="shared" si="9"/>
        <v>0</v>
      </c>
      <c r="U95" s="339">
        <f t="shared" si="10"/>
        <v>0</v>
      </c>
      <c r="V95" s="339">
        <f t="shared" si="11"/>
        <v>0</v>
      </c>
      <c r="W95" s="339">
        <f t="shared" si="12"/>
        <v>0</v>
      </c>
      <c r="X95" s="339">
        <f t="shared" si="13"/>
        <v>0</v>
      </c>
      <c r="Y95" s="339">
        <f t="shared" si="14"/>
        <v>0</v>
      </c>
      <c r="Z95" s="162"/>
      <c r="AA95" s="162"/>
      <c r="AB95" s="162"/>
      <c r="AC95" s="162"/>
      <c r="AD95" s="162"/>
    </row>
    <row r="96" spans="1:30">
      <c r="A96" s="838" t="s">
        <v>1400</v>
      </c>
      <c r="B96" s="169" t="s">
        <v>116</v>
      </c>
      <c r="C96" s="169" t="s">
        <v>121</v>
      </c>
      <c r="D96" s="143">
        <f t="shared" si="4"/>
        <v>675</v>
      </c>
      <c r="E96" s="176">
        <v>1000</v>
      </c>
      <c r="F96" s="1107">
        <v>0.5</v>
      </c>
      <c r="G96" s="176">
        <v>0.25</v>
      </c>
      <c r="H96" s="172">
        <f t="shared" si="5"/>
        <v>6792.1875</v>
      </c>
      <c r="I96" s="162"/>
      <c r="J96" s="162"/>
      <c r="K96" s="227"/>
      <c r="L96" s="162"/>
      <c r="M96" s="162"/>
      <c r="N96" s="162"/>
      <c r="O96" s="162"/>
      <c r="P96" s="162"/>
      <c r="Q96" s="339">
        <f t="shared" si="6"/>
        <v>6792.1875</v>
      </c>
      <c r="R96" s="339">
        <f t="shared" si="7"/>
        <v>0</v>
      </c>
      <c r="S96" s="339">
        <f t="shared" si="8"/>
        <v>0</v>
      </c>
      <c r="T96" s="339">
        <f t="shared" si="9"/>
        <v>0</v>
      </c>
      <c r="U96" s="339">
        <f t="shared" si="10"/>
        <v>0</v>
      </c>
      <c r="V96" s="339">
        <f t="shared" si="11"/>
        <v>0</v>
      </c>
      <c r="W96" s="339">
        <f t="shared" si="12"/>
        <v>0</v>
      </c>
      <c r="X96" s="339">
        <f t="shared" si="13"/>
        <v>0</v>
      </c>
      <c r="Y96" s="339">
        <f t="shared" si="14"/>
        <v>0</v>
      </c>
      <c r="Z96" s="162"/>
      <c r="AA96" s="162"/>
      <c r="AB96" s="162"/>
      <c r="AC96" s="162"/>
      <c r="AD96" s="162"/>
    </row>
    <row r="97" spans="1:30">
      <c r="A97" s="838" t="s">
        <v>1401</v>
      </c>
      <c r="B97" s="169" t="s">
        <v>116</v>
      </c>
      <c r="C97" s="169" t="s">
        <v>121</v>
      </c>
      <c r="D97" s="143">
        <f t="shared" si="4"/>
        <v>675</v>
      </c>
      <c r="E97" s="176">
        <v>1000</v>
      </c>
      <c r="F97" s="1107">
        <v>0.5</v>
      </c>
      <c r="G97" s="176">
        <v>0.25</v>
      </c>
      <c r="H97" s="172">
        <f t="shared" si="5"/>
        <v>6792.1875</v>
      </c>
      <c r="I97" s="162"/>
      <c r="J97" s="162"/>
      <c r="K97" s="227"/>
      <c r="L97" s="227"/>
      <c r="M97" s="162"/>
      <c r="N97" s="162"/>
      <c r="O97" s="162"/>
      <c r="P97" s="162"/>
      <c r="Q97" s="339">
        <f t="shared" si="6"/>
        <v>6792.1875</v>
      </c>
      <c r="R97" s="339">
        <f t="shared" si="7"/>
        <v>0</v>
      </c>
      <c r="S97" s="339">
        <f t="shared" si="8"/>
        <v>0</v>
      </c>
      <c r="T97" s="339">
        <f t="shared" si="9"/>
        <v>0</v>
      </c>
      <c r="U97" s="339">
        <f t="shared" si="10"/>
        <v>0</v>
      </c>
      <c r="V97" s="339">
        <f t="shared" si="11"/>
        <v>0</v>
      </c>
      <c r="W97" s="339">
        <f t="shared" si="12"/>
        <v>0</v>
      </c>
      <c r="X97" s="339">
        <f t="shared" si="13"/>
        <v>0</v>
      </c>
      <c r="Y97" s="339">
        <f t="shared" si="14"/>
        <v>0</v>
      </c>
      <c r="Z97" s="162"/>
      <c r="AA97" s="162"/>
      <c r="AB97" s="162"/>
      <c r="AC97" s="162"/>
      <c r="AD97" s="162"/>
    </row>
    <row r="98" spans="1:30">
      <c r="A98" s="838" t="s">
        <v>1402</v>
      </c>
      <c r="B98" s="169" t="s">
        <v>116</v>
      </c>
      <c r="C98" s="169" t="s">
        <v>121</v>
      </c>
      <c r="D98" s="143">
        <f t="shared" si="4"/>
        <v>675</v>
      </c>
      <c r="E98" s="176">
        <v>1000</v>
      </c>
      <c r="F98" s="1107">
        <v>0.5</v>
      </c>
      <c r="G98" s="176">
        <v>0.25</v>
      </c>
      <c r="H98" s="172">
        <f t="shared" si="5"/>
        <v>6792.1875</v>
      </c>
      <c r="I98" s="162"/>
      <c r="J98" s="162"/>
      <c r="K98" s="162"/>
      <c r="L98" s="162"/>
      <c r="M98" s="162"/>
      <c r="N98" s="162"/>
      <c r="O98" s="162"/>
      <c r="P98" s="162"/>
      <c r="Q98" s="339">
        <f t="shared" si="6"/>
        <v>6792.1875</v>
      </c>
      <c r="R98" s="339">
        <f t="shared" si="7"/>
        <v>0</v>
      </c>
      <c r="S98" s="339">
        <f t="shared" si="8"/>
        <v>0</v>
      </c>
      <c r="T98" s="339">
        <f t="shared" si="9"/>
        <v>0</v>
      </c>
      <c r="U98" s="339">
        <f t="shared" si="10"/>
        <v>0</v>
      </c>
      <c r="V98" s="339">
        <f t="shared" si="11"/>
        <v>0</v>
      </c>
      <c r="W98" s="339">
        <f t="shared" si="12"/>
        <v>0</v>
      </c>
      <c r="X98" s="339">
        <f t="shared" si="13"/>
        <v>0</v>
      </c>
      <c r="Y98" s="339">
        <f t="shared" si="14"/>
        <v>0</v>
      </c>
      <c r="Z98" s="162"/>
      <c r="AA98" s="162"/>
      <c r="AB98" s="162"/>
      <c r="AC98" s="162"/>
      <c r="AD98" s="162"/>
    </row>
    <row r="99" spans="1:30">
      <c r="A99" s="838" t="s">
        <v>1403</v>
      </c>
      <c r="B99" s="169" t="s">
        <v>116</v>
      </c>
      <c r="C99" s="169" t="s">
        <v>121</v>
      </c>
      <c r="D99" s="143">
        <f t="shared" si="4"/>
        <v>675</v>
      </c>
      <c r="E99" s="176">
        <v>1000</v>
      </c>
      <c r="F99" s="1107">
        <v>0.5</v>
      </c>
      <c r="G99" s="176">
        <v>0.25</v>
      </c>
      <c r="H99" s="172">
        <f t="shared" si="5"/>
        <v>6792.1875</v>
      </c>
      <c r="I99" s="162"/>
      <c r="J99" s="162"/>
      <c r="K99" s="162"/>
      <c r="L99" s="162"/>
      <c r="M99" s="162"/>
      <c r="N99" s="162"/>
      <c r="O99" s="162"/>
      <c r="P99" s="162"/>
      <c r="Q99" s="339">
        <f t="shared" si="6"/>
        <v>6792.1875</v>
      </c>
      <c r="R99" s="339">
        <f t="shared" si="7"/>
        <v>0</v>
      </c>
      <c r="S99" s="339">
        <f t="shared" si="8"/>
        <v>0</v>
      </c>
      <c r="T99" s="339">
        <f t="shared" si="9"/>
        <v>0</v>
      </c>
      <c r="U99" s="339">
        <f t="shared" si="10"/>
        <v>0</v>
      </c>
      <c r="V99" s="339">
        <f t="shared" si="11"/>
        <v>0</v>
      </c>
      <c r="W99" s="339">
        <f t="shared" si="12"/>
        <v>0</v>
      </c>
      <c r="X99" s="339">
        <f t="shared" si="13"/>
        <v>0</v>
      </c>
      <c r="Y99" s="339">
        <f t="shared" si="14"/>
        <v>0</v>
      </c>
      <c r="Z99" s="162"/>
      <c r="AA99" s="162"/>
      <c r="AB99" s="162"/>
      <c r="AC99" s="162"/>
      <c r="AD99" s="162"/>
    </row>
    <row r="100" spans="1:30">
      <c r="A100" s="838" t="s">
        <v>1404</v>
      </c>
      <c r="B100" s="169" t="s">
        <v>116</v>
      </c>
      <c r="C100" s="169" t="s">
        <v>121</v>
      </c>
      <c r="D100" s="143">
        <f t="shared" si="4"/>
        <v>675</v>
      </c>
      <c r="E100" s="176">
        <v>1000</v>
      </c>
      <c r="F100" s="1107">
        <v>0.5</v>
      </c>
      <c r="G100" s="176">
        <v>0.25</v>
      </c>
      <c r="H100" s="172">
        <f t="shared" si="5"/>
        <v>6792.1875</v>
      </c>
      <c r="I100" s="162"/>
      <c r="J100" s="162"/>
      <c r="K100" s="162"/>
      <c r="L100" s="162"/>
      <c r="M100" s="162"/>
      <c r="N100" s="162"/>
      <c r="O100" s="162"/>
      <c r="P100" s="162"/>
      <c r="Q100" s="339">
        <f t="shared" si="6"/>
        <v>6792.1875</v>
      </c>
      <c r="R100" s="339">
        <f t="shared" si="7"/>
        <v>0</v>
      </c>
      <c r="S100" s="339">
        <f t="shared" si="8"/>
        <v>0</v>
      </c>
      <c r="T100" s="339">
        <f t="shared" si="9"/>
        <v>0</v>
      </c>
      <c r="U100" s="339">
        <f t="shared" si="10"/>
        <v>0</v>
      </c>
      <c r="V100" s="339">
        <f t="shared" si="11"/>
        <v>0</v>
      </c>
      <c r="W100" s="339">
        <f t="shared" si="12"/>
        <v>0</v>
      </c>
      <c r="X100" s="339">
        <f t="shared" si="13"/>
        <v>0</v>
      </c>
      <c r="Y100" s="339">
        <f t="shared" si="14"/>
        <v>0</v>
      </c>
      <c r="Z100" s="162"/>
      <c r="AA100" s="162"/>
      <c r="AB100" s="162"/>
      <c r="AC100" s="162"/>
      <c r="AD100" s="162"/>
    </row>
    <row r="101" spans="1:30">
      <c r="A101" s="838" t="s">
        <v>1405</v>
      </c>
      <c r="B101" s="169" t="s">
        <v>116</v>
      </c>
      <c r="C101" s="169" t="s">
        <v>121</v>
      </c>
      <c r="D101" s="143">
        <f t="shared" si="4"/>
        <v>675</v>
      </c>
      <c r="E101" s="176">
        <v>1000</v>
      </c>
      <c r="F101" s="1107">
        <v>0.5</v>
      </c>
      <c r="G101" s="176">
        <v>0.25</v>
      </c>
      <c r="H101" s="172">
        <f t="shared" si="5"/>
        <v>6792.1875</v>
      </c>
      <c r="I101" s="162"/>
      <c r="J101" s="162"/>
      <c r="K101" s="162"/>
      <c r="L101" s="162"/>
      <c r="M101" s="162"/>
      <c r="N101" s="162"/>
      <c r="O101" s="162"/>
      <c r="P101" s="162"/>
      <c r="Q101" s="339">
        <f t="shared" si="6"/>
        <v>6792.1875</v>
      </c>
      <c r="R101" s="339">
        <f t="shared" si="7"/>
        <v>0</v>
      </c>
      <c r="S101" s="339">
        <f t="shared" si="8"/>
        <v>0</v>
      </c>
      <c r="T101" s="339">
        <f t="shared" si="9"/>
        <v>0</v>
      </c>
      <c r="U101" s="339">
        <f t="shared" si="10"/>
        <v>0</v>
      </c>
      <c r="V101" s="339">
        <f t="shared" si="11"/>
        <v>0</v>
      </c>
      <c r="W101" s="339">
        <f t="shared" si="12"/>
        <v>0</v>
      </c>
      <c r="X101" s="339">
        <f t="shared" si="13"/>
        <v>0</v>
      </c>
      <c r="Y101" s="339">
        <f t="shared" si="14"/>
        <v>0</v>
      </c>
      <c r="Z101" s="162"/>
      <c r="AA101" s="162"/>
      <c r="AB101" s="162"/>
      <c r="AC101" s="162"/>
      <c r="AD101" s="162"/>
    </row>
    <row r="102" spans="1:30">
      <c r="A102" s="838" t="s">
        <v>1406</v>
      </c>
      <c r="B102" s="169" t="s">
        <v>116</v>
      </c>
      <c r="C102" s="169" t="s">
        <v>121</v>
      </c>
      <c r="D102" s="143">
        <f t="shared" si="4"/>
        <v>675</v>
      </c>
      <c r="E102" s="176">
        <v>1000</v>
      </c>
      <c r="F102" s="1107">
        <v>0.5</v>
      </c>
      <c r="G102" s="176">
        <v>0.25</v>
      </c>
      <c r="H102" s="172">
        <f t="shared" si="5"/>
        <v>6792.1875</v>
      </c>
      <c r="I102" s="162"/>
      <c r="J102" s="162"/>
      <c r="K102" s="162"/>
      <c r="L102" s="162"/>
      <c r="M102" s="162"/>
      <c r="N102" s="162"/>
      <c r="O102" s="162"/>
      <c r="P102" s="162"/>
      <c r="Q102" s="339">
        <f t="shared" si="6"/>
        <v>6792.1875</v>
      </c>
      <c r="R102" s="339">
        <f t="shared" si="7"/>
        <v>0</v>
      </c>
      <c r="S102" s="339">
        <f t="shared" si="8"/>
        <v>0</v>
      </c>
      <c r="T102" s="339">
        <f t="shared" si="9"/>
        <v>0</v>
      </c>
      <c r="U102" s="339">
        <f t="shared" si="10"/>
        <v>0</v>
      </c>
      <c r="V102" s="339">
        <f t="shared" si="11"/>
        <v>0</v>
      </c>
      <c r="W102" s="339">
        <f t="shared" si="12"/>
        <v>0</v>
      </c>
      <c r="X102" s="339">
        <f t="shared" si="13"/>
        <v>0</v>
      </c>
      <c r="Y102" s="339">
        <f t="shared" si="14"/>
        <v>0</v>
      </c>
      <c r="Z102" s="162"/>
      <c r="AA102" s="162"/>
      <c r="AB102" s="162"/>
      <c r="AC102" s="162"/>
      <c r="AD102" s="162"/>
    </row>
    <row r="103" spans="1:30">
      <c r="A103" s="838" t="s">
        <v>1407</v>
      </c>
      <c r="B103" s="169" t="s">
        <v>116</v>
      </c>
      <c r="C103" s="169" t="s">
        <v>121</v>
      </c>
      <c r="D103" s="143">
        <f t="shared" si="4"/>
        <v>675</v>
      </c>
      <c r="E103" s="176">
        <v>1000</v>
      </c>
      <c r="F103" s="1107">
        <v>0.5</v>
      </c>
      <c r="G103" s="176">
        <v>0.25</v>
      </c>
      <c r="H103" s="172">
        <f t="shared" si="5"/>
        <v>6792.1875</v>
      </c>
      <c r="I103" s="162"/>
      <c r="J103" s="162"/>
      <c r="K103" s="162"/>
      <c r="L103" s="162"/>
      <c r="M103" s="162"/>
      <c r="N103" s="162"/>
      <c r="O103" s="162"/>
      <c r="P103" s="162"/>
      <c r="Q103" s="339">
        <f t="shared" si="6"/>
        <v>6792.1875</v>
      </c>
      <c r="R103" s="339">
        <f t="shared" si="7"/>
        <v>0</v>
      </c>
      <c r="S103" s="339">
        <f t="shared" si="8"/>
        <v>0</v>
      </c>
      <c r="T103" s="339">
        <f t="shared" si="9"/>
        <v>0</v>
      </c>
      <c r="U103" s="339">
        <f t="shared" si="10"/>
        <v>0</v>
      </c>
      <c r="V103" s="339">
        <f t="shared" si="11"/>
        <v>0</v>
      </c>
      <c r="W103" s="339">
        <f t="shared" si="12"/>
        <v>0</v>
      </c>
      <c r="X103" s="339">
        <f t="shared" si="13"/>
        <v>0</v>
      </c>
      <c r="Y103" s="339">
        <f t="shared" si="14"/>
        <v>0</v>
      </c>
      <c r="Z103" s="162"/>
      <c r="AA103" s="162"/>
      <c r="AB103" s="162"/>
      <c r="AC103" s="162"/>
      <c r="AD103" s="162"/>
    </row>
    <row r="104" spans="1:30">
      <c r="A104" s="838" t="s">
        <v>1408</v>
      </c>
      <c r="B104" s="169" t="s">
        <v>116</v>
      </c>
      <c r="C104" s="169" t="s">
        <v>121</v>
      </c>
      <c r="D104" s="143">
        <f t="shared" si="4"/>
        <v>675</v>
      </c>
      <c r="E104" s="176">
        <v>1000</v>
      </c>
      <c r="F104" s="1107">
        <v>0.5</v>
      </c>
      <c r="G104" s="176">
        <v>0.25</v>
      </c>
      <c r="H104" s="172">
        <f t="shared" si="5"/>
        <v>6792.1875</v>
      </c>
      <c r="I104" s="162"/>
      <c r="J104" s="162"/>
      <c r="K104" s="162"/>
      <c r="L104" s="162"/>
      <c r="M104" s="162"/>
      <c r="N104" s="162"/>
      <c r="O104" s="162"/>
      <c r="P104" s="162"/>
      <c r="Q104" s="339">
        <f t="shared" si="6"/>
        <v>6792.1875</v>
      </c>
      <c r="R104" s="339">
        <f t="shared" si="7"/>
        <v>0</v>
      </c>
      <c r="S104" s="339">
        <f t="shared" si="8"/>
        <v>0</v>
      </c>
      <c r="T104" s="339">
        <f t="shared" si="9"/>
        <v>0</v>
      </c>
      <c r="U104" s="339">
        <f t="shared" si="10"/>
        <v>0</v>
      </c>
      <c r="V104" s="339">
        <f t="shared" si="11"/>
        <v>0</v>
      </c>
      <c r="W104" s="339">
        <f t="shared" si="12"/>
        <v>0</v>
      </c>
      <c r="X104" s="339">
        <f t="shared" si="13"/>
        <v>0</v>
      </c>
      <c r="Y104" s="339">
        <f t="shared" si="14"/>
        <v>0</v>
      </c>
      <c r="Z104" s="162"/>
      <c r="AA104" s="162"/>
      <c r="AB104" s="162"/>
      <c r="AC104" s="162"/>
      <c r="AD104" s="162"/>
    </row>
    <row r="105" spans="1:30">
      <c r="A105" s="838" t="s">
        <v>1409</v>
      </c>
      <c r="B105" s="169" t="s">
        <v>116</v>
      </c>
      <c r="C105" s="169" t="s">
        <v>121</v>
      </c>
      <c r="D105" s="143">
        <f t="shared" si="4"/>
        <v>675</v>
      </c>
      <c r="E105" s="176">
        <v>1000</v>
      </c>
      <c r="F105" s="1107">
        <v>0.5</v>
      </c>
      <c r="G105" s="176">
        <v>0.25</v>
      </c>
      <c r="H105" s="172">
        <f t="shared" si="5"/>
        <v>6792.1875</v>
      </c>
      <c r="I105" s="162"/>
      <c r="J105" s="162"/>
      <c r="K105" s="162"/>
      <c r="L105" s="162"/>
      <c r="M105" s="162"/>
      <c r="N105" s="162"/>
      <c r="O105" s="162"/>
      <c r="P105" s="162"/>
      <c r="Q105" s="339">
        <f t="shared" si="6"/>
        <v>6792.1875</v>
      </c>
      <c r="R105" s="339">
        <f t="shared" si="7"/>
        <v>0</v>
      </c>
      <c r="S105" s="339">
        <f t="shared" si="8"/>
        <v>0</v>
      </c>
      <c r="T105" s="339">
        <f t="shared" si="9"/>
        <v>0</v>
      </c>
      <c r="U105" s="339">
        <f t="shared" si="10"/>
        <v>0</v>
      </c>
      <c r="V105" s="339">
        <f t="shared" si="11"/>
        <v>0</v>
      </c>
      <c r="W105" s="339">
        <f t="shared" si="12"/>
        <v>0</v>
      </c>
      <c r="X105" s="339">
        <f t="shared" si="13"/>
        <v>0</v>
      </c>
      <c r="Y105" s="339">
        <f t="shared" si="14"/>
        <v>0</v>
      </c>
      <c r="Z105" s="162"/>
      <c r="AA105" s="162"/>
      <c r="AB105" s="162"/>
      <c r="AC105" s="162"/>
      <c r="AD105" s="162"/>
    </row>
    <row r="106" spans="1:30">
      <c r="A106" s="838" t="s">
        <v>1410</v>
      </c>
      <c r="B106" s="169" t="s">
        <v>116</v>
      </c>
      <c r="C106" s="169" t="s">
        <v>121</v>
      </c>
      <c r="D106" s="143">
        <f t="shared" si="4"/>
        <v>675</v>
      </c>
      <c r="E106" s="176">
        <v>1000</v>
      </c>
      <c r="F106" s="1107">
        <v>0.5</v>
      </c>
      <c r="G106" s="176">
        <v>0.25</v>
      </c>
      <c r="H106" s="172">
        <f t="shared" si="5"/>
        <v>6792.1875</v>
      </c>
      <c r="I106" s="162"/>
      <c r="J106" s="162"/>
      <c r="K106" s="162"/>
      <c r="L106" s="162"/>
      <c r="M106" s="162"/>
      <c r="N106" s="162"/>
      <c r="O106" s="162"/>
      <c r="P106" s="162"/>
      <c r="Q106" s="339">
        <f t="shared" si="6"/>
        <v>6792.1875</v>
      </c>
      <c r="R106" s="339">
        <f t="shared" si="7"/>
        <v>0</v>
      </c>
      <c r="S106" s="339">
        <f t="shared" si="8"/>
        <v>0</v>
      </c>
      <c r="T106" s="339">
        <f t="shared" si="9"/>
        <v>0</v>
      </c>
      <c r="U106" s="339">
        <f t="shared" si="10"/>
        <v>0</v>
      </c>
      <c r="V106" s="339">
        <f t="shared" si="11"/>
        <v>0</v>
      </c>
      <c r="W106" s="339">
        <f t="shared" si="12"/>
        <v>0</v>
      </c>
      <c r="X106" s="339">
        <f t="shared" si="13"/>
        <v>0</v>
      </c>
      <c r="Y106" s="339">
        <f t="shared" si="14"/>
        <v>0</v>
      </c>
      <c r="Z106" s="162"/>
      <c r="AA106" s="162"/>
      <c r="AB106" s="162"/>
      <c r="AC106" s="162"/>
      <c r="AD106" s="162"/>
    </row>
    <row r="107" spans="1:30">
      <c r="A107" s="838" t="s">
        <v>1411</v>
      </c>
      <c r="B107" s="169" t="s">
        <v>116</v>
      </c>
      <c r="C107" s="169" t="s">
        <v>121</v>
      </c>
      <c r="D107" s="143">
        <f t="shared" si="4"/>
        <v>675</v>
      </c>
      <c r="E107" s="176">
        <v>1000</v>
      </c>
      <c r="F107" s="1107">
        <v>0.5</v>
      </c>
      <c r="G107" s="176">
        <v>0.25</v>
      </c>
      <c r="H107" s="172">
        <f t="shared" si="5"/>
        <v>6792.1875</v>
      </c>
      <c r="I107" s="162"/>
      <c r="J107" s="162"/>
      <c r="K107" s="162"/>
      <c r="L107" s="162"/>
      <c r="M107" s="162"/>
      <c r="N107" s="162"/>
      <c r="O107" s="162"/>
      <c r="P107" s="162"/>
      <c r="Q107" s="339">
        <f t="shared" si="6"/>
        <v>6792.1875</v>
      </c>
      <c r="R107" s="339">
        <f t="shared" si="7"/>
        <v>0</v>
      </c>
      <c r="S107" s="339">
        <f t="shared" si="8"/>
        <v>0</v>
      </c>
      <c r="T107" s="339">
        <f t="shared" si="9"/>
        <v>0</v>
      </c>
      <c r="U107" s="339">
        <f t="shared" si="10"/>
        <v>0</v>
      </c>
      <c r="V107" s="339">
        <f t="shared" si="11"/>
        <v>0</v>
      </c>
      <c r="W107" s="339">
        <f t="shared" si="12"/>
        <v>0</v>
      </c>
      <c r="X107" s="339">
        <f t="shared" si="13"/>
        <v>0</v>
      </c>
      <c r="Y107" s="339">
        <f t="shared" si="14"/>
        <v>0</v>
      </c>
      <c r="Z107" s="162"/>
      <c r="AA107" s="162"/>
      <c r="AB107" s="162"/>
      <c r="AC107" s="162"/>
      <c r="AD107" s="162"/>
    </row>
    <row r="108" spans="1:30">
      <c r="A108" s="838" t="s">
        <v>1412</v>
      </c>
      <c r="B108" s="169" t="s">
        <v>116</v>
      </c>
      <c r="C108" s="169" t="s">
        <v>121</v>
      </c>
      <c r="D108" s="143">
        <f t="shared" si="4"/>
        <v>675</v>
      </c>
      <c r="E108" s="176">
        <v>1000</v>
      </c>
      <c r="F108" s="1107">
        <v>0.5</v>
      </c>
      <c r="G108" s="176">
        <v>0.25</v>
      </c>
      <c r="H108" s="172">
        <f t="shared" si="5"/>
        <v>6792.1875</v>
      </c>
      <c r="I108" s="162"/>
      <c r="J108" s="162"/>
      <c r="K108" s="162"/>
      <c r="L108" s="162"/>
      <c r="M108" s="162"/>
      <c r="N108" s="162"/>
      <c r="O108" s="162"/>
      <c r="P108" s="162"/>
      <c r="Q108" s="339">
        <f t="shared" si="6"/>
        <v>6792.1875</v>
      </c>
      <c r="R108" s="339">
        <f t="shared" si="7"/>
        <v>0</v>
      </c>
      <c r="S108" s="339">
        <f t="shared" si="8"/>
        <v>0</v>
      </c>
      <c r="T108" s="339">
        <f t="shared" si="9"/>
        <v>0</v>
      </c>
      <c r="U108" s="339">
        <f t="shared" si="10"/>
        <v>0</v>
      </c>
      <c r="V108" s="339">
        <f t="shared" si="11"/>
        <v>0</v>
      </c>
      <c r="W108" s="339">
        <f t="shared" si="12"/>
        <v>0</v>
      </c>
      <c r="X108" s="339">
        <f t="shared" si="13"/>
        <v>0</v>
      </c>
      <c r="Y108" s="339">
        <f t="shared" si="14"/>
        <v>0</v>
      </c>
      <c r="Z108" s="162"/>
      <c r="AA108" s="162"/>
      <c r="AB108" s="162"/>
      <c r="AC108" s="162"/>
      <c r="AD108" s="162"/>
    </row>
    <row r="109" spans="1:30">
      <c r="A109" s="838" t="s">
        <v>1413</v>
      </c>
      <c r="B109" s="169" t="s">
        <v>116</v>
      </c>
      <c r="C109" s="169" t="s">
        <v>121</v>
      </c>
      <c r="D109" s="143">
        <f t="shared" si="4"/>
        <v>675</v>
      </c>
      <c r="E109" s="176">
        <v>1000</v>
      </c>
      <c r="F109" s="1107">
        <v>0.5</v>
      </c>
      <c r="G109" s="176">
        <v>0.25</v>
      </c>
      <c r="H109" s="172">
        <f t="shared" si="5"/>
        <v>6792.1875</v>
      </c>
      <c r="I109" s="162"/>
      <c r="J109" s="162"/>
      <c r="K109" s="162"/>
      <c r="L109" s="162"/>
      <c r="M109" s="162"/>
      <c r="N109" s="162"/>
      <c r="O109" s="162"/>
      <c r="P109" s="162"/>
      <c r="Q109" s="339">
        <f t="shared" si="6"/>
        <v>6792.1875</v>
      </c>
      <c r="R109" s="339">
        <f t="shared" si="7"/>
        <v>0</v>
      </c>
      <c r="S109" s="339">
        <f t="shared" si="8"/>
        <v>0</v>
      </c>
      <c r="T109" s="339">
        <f t="shared" si="9"/>
        <v>0</v>
      </c>
      <c r="U109" s="339">
        <f t="shared" si="10"/>
        <v>0</v>
      </c>
      <c r="V109" s="339">
        <f t="shared" si="11"/>
        <v>0</v>
      </c>
      <c r="W109" s="339">
        <f t="shared" si="12"/>
        <v>0</v>
      </c>
      <c r="X109" s="339">
        <f t="shared" si="13"/>
        <v>0</v>
      </c>
      <c r="Y109" s="339">
        <f t="shared" si="14"/>
        <v>0</v>
      </c>
      <c r="Z109" s="162"/>
      <c r="AA109" s="162"/>
      <c r="AB109" s="162"/>
      <c r="AC109" s="162"/>
      <c r="AD109" s="162"/>
    </row>
    <row r="110" spans="1:30">
      <c r="A110" s="838" t="s">
        <v>1413</v>
      </c>
      <c r="B110" s="169" t="s">
        <v>116</v>
      </c>
      <c r="C110" s="169" t="s">
        <v>121</v>
      </c>
      <c r="D110" s="143">
        <f t="shared" si="4"/>
        <v>675</v>
      </c>
      <c r="E110" s="176">
        <v>1000</v>
      </c>
      <c r="F110" s="1107">
        <v>0.5</v>
      </c>
      <c r="G110" s="176">
        <v>0.25</v>
      </c>
      <c r="H110" s="172">
        <f t="shared" si="5"/>
        <v>6792.1875</v>
      </c>
      <c r="I110" s="162"/>
      <c r="J110" s="162"/>
      <c r="K110" s="162"/>
      <c r="L110" s="162"/>
      <c r="M110" s="162"/>
      <c r="N110" s="162"/>
      <c r="O110" s="162"/>
      <c r="P110" s="162"/>
      <c r="Q110" s="339">
        <f t="shared" si="6"/>
        <v>6792.1875</v>
      </c>
      <c r="R110" s="339">
        <f t="shared" si="7"/>
        <v>0</v>
      </c>
      <c r="S110" s="339">
        <f t="shared" si="8"/>
        <v>0</v>
      </c>
      <c r="T110" s="339">
        <f t="shared" si="9"/>
        <v>0</v>
      </c>
      <c r="U110" s="339">
        <f t="shared" si="10"/>
        <v>0</v>
      </c>
      <c r="V110" s="339">
        <f t="shared" si="11"/>
        <v>0</v>
      </c>
      <c r="W110" s="339">
        <f t="shared" si="12"/>
        <v>0</v>
      </c>
      <c r="X110" s="339">
        <f t="shared" si="13"/>
        <v>0</v>
      </c>
      <c r="Y110" s="339">
        <f t="shared" si="14"/>
        <v>0</v>
      </c>
      <c r="Z110" s="162"/>
      <c r="AA110" s="162"/>
      <c r="AB110" s="162"/>
      <c r="AC110" s="162"/>
      <c r="AD110" s="162"/>
    </row>
    <row r="111" spans="1:30">
      <c r="A111" s="838" t="s">
        <v>1414</v>
      </c>
      <c r="B111" s="169" t="s">
        <v>116</v>
      </c>
      <c r="C111" s="169" t="s">
        <v>121</v>
      </c>
      <c r="D111" s="143">
        <f t="shared" si="4"/>
        <v>675</v>
      </c>
      <c r="E111" s="176">
        <v>1000</v>
      </c>
      <c r="F111" s="1107">
        <v>0.5</v>
      </c>
      <c r="G111" s="176">
        <v>0.25</v>
      </c>
      <c r="H111" s="172">
        <f t="shared" si="5"/>
        <v>6792.1875</v>
      </c>
      <c r="I111" s="162"/>
      <c r="J111" s="162"/>
      <c r="K111" s="162"/>
      <c r="L111" s="162"/>
      <c r="M111" s="162"/>
      <c r="N111" s="162"/>
      <c r="O111" s="162"/>
      <c r="P111" s="162"/>
      <c r="Q111" s="339">
        <f t="shared" si="6"/>
        <v>6792.1875</v>
      </c>
      <c r="R111" s="339">
        <f t="shared" si="7"/>
        <v>0</v>
      </c>
      <c r="S111" s="339">
        <f t="shared" si="8"/>
        <v>0</v>
      </c>
      <c r="T111" s="339">
        <f t="shared" si="9"/>
        <v>0</v>
      </c>
      <c r="U111" s="339">
        <f t="shared" si="10"/>
        <v>0</v>
      </c>
      <c r="V111" s="339">
        <f t="shared" si="11"/>
        <v>0</v>
      </c>
      <c r="W111" s="339">
        <f t="shared" si="12"/>
        <v>0</v>
      </c>
      <c r="X111" s="339">
        <f t="shared" si="13"/>
        <v>0</v>
      </c>
      <c r="Y111" s="339">
        <f t="shared" si="14"/>
        <v>0</v>
      </c>
      <c r="Z111" s="162"/>
      <c r="AA111" s="162"/>
      <c r="AB111" s="162"/>
      <c r="AC111" s="162"/>
      <c r="AD111" s="162"/>
    </row>
    <row r="112" spans="1:30" ht="12" customHeight="1">
      <c r="A112" s="838" t="s">
        <v>1415</v>
      </c>
      <c r="B112" s="169" t="s">
        <v>116</v>
      </c>
      <c r="C112" s="169" t="s">
        <v>121</v>
      </c>
      <c r="D112" s="143">
        <f t="shared" si="4"/>
        <v>675</v>
      </c>
      <c r="E112" s="176">
        <v>1000</v>
      </c>
      <c r="F112" s="1107">
        <v>0.5</v>
      </c>
      <c r="G112" s="176">
        <v>0.25</v>
      </c>
      <c r="H112" s="172">
        <f t="shared" si="5"/>
        <v>6792.1875</v>
      </c>
      <c r="I112" s="162"/>
      <c r="J112" s="162"/>
      <c r="K112" s="162"/>
      <c r="L112" s="162"/>
      <c r="M112" s="162"/>
      <c r="N112" s="162"/>
      <c r="O112" s="162"/>
      <c r="P112" s="162"/>
      <c r="Q112" s="339">
        <f t="shared" si="6"/>
        <v>6792.1875</v>
      </c>
      <c r="R112" s="339">
        <f t="shared" si="7"/>
        <v>0</v>
      </c>
      <c r="S112" s="339">
        <f t="shared" si="8"/>
        <v>0</v>
      </c>
      <c r="T112" s="339">
        <f t="shared" si="9"/>
        <v>0</v>
      </c>
      <c r="U112" s="339">
        <f t="shared" si="10"/>
        <v>0</v>
      </c>
      <c r="V112" s="339">
        <f t="shared" si="11"/>
        <v>0</v>
      </c>
      <c r="W112" s="339">
        <f t="shared" si="12"/>
        <v>0</v>
      </c>
      <c r="X112" s="339">
        <f t="shared" si="13"/>
        <v>0</v>
      </c>
      <c r="Y112" s="339">
        <f t="shared" si="14"/>
        <v>0</v>
      </c>
      <c r="Z112" s="162"/>
      <c r="AA112" s="162"/>
      <c r="AB112" s="162"/>
      <c r="AC112" s="162"/>
      <c r="AD112" s="162"/>
    </row>
    <row r="113" spans="1:30">
      <c r="A113" s="838" t="s">
        <v>1416</v>
      </c>
      <c r="B113" s="169" t="s">
        <v>116</v>
      </c>
      <c r="C113" s="169" t="s">
        <v>121</v>
      </c>
      <c r="D113" s="143">
        <f t="shared" si="4"/>
        <v>675</v>
      </c>
      <c r="E113" s="176">
        <v>1000</v>
      </c>
      <c r="F113" s="1107">
        <v>0.5</v>
      </c>
      <c r="G113" s="176">
        <v>0.25</v>
      </c>
      <c r="H113" s="172">
        <f t="shared" si="5"/>
        <v>6792.1875</v>
      </c>
      <c r="I113" s="162"/>
      <c r="J113" s="162"/>
      <c r="K113" s="162"/>
      <c r="L113" s="162"/>
      <c r="M113" s="162"/>
      <c r="N113" s="162"/>
      <c r="O113" s="162"/>
      <c r="P113" s="162"/>
      <c r="Q113" s="339">
        <f t="shared" si="6"/>
        <v>6792.1875</v>
      </c>
      <c r="R113" s="339">
        <f t="shared" si="7"/>
        <v>0</v>
      </c>
      <c r="S113" s="339">
        <f t="shared" si="8"/>
        <v>0</v>
      </c>
      <c r="T113" s="339">
        <f t="shared" si="9"/>
        <v>0</v>
      </c>
      <c r="U113" s="339">
        <f t="shared" si="10"/>
        <v>0</v>
      </c>
      <c r="V113" s="339">
        <f t="shared" si="11"/>
        <v>0</v>
      </c>
      <c r="W113" s="339">
        <f t="shared" si="12"/>
        <v>0</v>
      </c>
      <c r="X113" s="339">
        <f t="shared" si="13"/>
        <v>0</v>
      </c>
      <c r="Y113" s="339">
        <f t="shared" si="14"/>
        <v>0</v>
      </c>
      <c r="Z113" s="162"/>
      <c r="AA113" s="162"/>
      <c r="AB113" s="162"/>
      <c r="AC113" s="162"/>
      <c r="AD113" s="162"/>
    </row>
    <row r="114" spans="1:30">
      <c r="A114" s="838" t="s">
        <v>1417</v>
      </c>
      <c r="B114" s="169" t="s">
        <v>116</v>
      </c>
      <c r="C114" s="169" t="s">
        <v>121</v>
      </c>
      <c r="D114" s="143">
        <f t="shared" si="4"/>
        <v>675</v>
      </c>
      <c r="E114" s="176">
        <v>1000</v>
      </c>
      <c r="F114" s="1107">
        <v>0.5</v>
      </c>
      <c r="G114" s="176">
        <v>0.25</v>
      </c>
      <c r="H114" s="172">
        <f t="shared" si="5"/>
        <v>6792.1875</v>
      </c>
      <c r="I114" s="162"/>
      <c r="J114" s="162"/>
      <c r="K114" s="162"/>
      <c r="L114" s="162"/>
      <c r="M114" s="162"/>
      <c r="N114" s="162"/>
      <c r="O114" s="162"/>
      <c r="P114" s="162"/>
      <c r="Q114" s="339">
        <f t="shared" si="6"/>
        <v>6792.1875</v>
      </c>
      <c r="R114" s="339">
        <f t="shared" si="7"/>
        <v>0</v>
      </c>
      <c r="S114" s="339">
        <f t="shared" si="8"/>
        <v>0</v>
      </c>
      <c r="T114" s="339">
        <f t="shared" si="9"/>
        <v>0</v>
      </c>
      <c r="U114" s="339">
        <f t="shared" si="10"/>
        <v>0</v>
      </c>
      <c r="V114" s="339">
        <f t="shared" si="11"/>
        <v>0</v>
      </c>
      <c r="W114" s="339">
        <f t="shared" si="12"/>
        <v>0</v>
      </c>
      <c r="X114" s="339">
        <f t="shared" si="13"/>
        <v>0</v>
      </c>
      <c r="Y114" s="339">
        <f t="shared" si="14"/>
        <v>0</v>
      </c>
      <c r="Z114" s="162"/>
      <c r="AA114" s="162"/>
      <c r="AB114" s="162"/>
      <c r="AC114" s="162"/>
      <c r="AD114" s="162"/>
    </row>
    <row r="115" spans="1:30">
      <c r="A115" s="838" t="s">
        <v>1418</v>
      </c>
      <c r="B115" s="169" t="s">
        <v>116</v>
      </c>
      <c r="C115" s="169" t="s">
        <v>121</v>
      </c>
      <c r="D115" s="143">
        <f t="shared" si="4"/>
        <v>675</v>
      </c>
      <c r="E115" s="176">
        <v>1000</v>
      </c>
      <c r="F115" s="1107">
        <v>0.5</v>
      </c>
      <c r="G115" s="176">
        <v>0.25</v>
      </c>
      <c r="H115" s="172">
        <f t="shared" si="5"/>
        <v>6792.1875</v>
      </c>
      <c r="I115" s="162"/>
      <c r="J115" s="162"/>
      <c r="K115" s="162"/>
      <c r="L115" s="162"/>
      <c r="M115" s="162"/>
      <c r="N115" s="162"/>
      <c r="O115" s="162"/>
      <c r="P115" s="162"/>
      <c r="Q115" s="339">
        <f t="shared" si="6"/>
        <v>6792.1875</v>
      </c>
      <c r="R115" s="339">
        <f t="shared" si="7"/>
        <v>0</v>
      </c>
      <c r="S115" s="339">
        <f t="shared" si="8"/>
        <v>0</v>
      </c>
      <c r="T115" s="339">
        <f t="shared" si="9"/>
        <v>0</v>
      </c>
      <c r="U115" s="339">
        <f t="shared" si="10"/>
        <v>0</v>
      </c>
      <c r="V115" s="339">
        <f t="shared" si="11"/>
        <v>0</v>
      </c>
      <c r="W115" s="339">
        <f t="shared" si="12"/>
        <v>0</v>
      </c>
      <c r="X115" s="339">
        <f t="shared" si="13"/>
        <v>0</v>
      </c>
      <c r="Y115" s="339">
        <f t="shared" si="14"/>
        <v>0</v>
      </c>
      <c r="Z115" s="162"/>
      <c r="AA115" s="162"/>
      <c r="AB115" s="162"/>
      <c r="AC115" s="162"/>
      <c r="AD115" s="162"/>
    </row>
    <row r="116" spans="1:30">
      <c r="A116" s="838" t="s">
        <v>1419</v>
      </c>
      <c r="B116" s="169" t="s">
        <v>116</v>
      </c>
      <c r="C116" s="169" t="s">
        <v>121</v>
      </c>
      <c r="D116" s="143">
        <f t="shared" si="4"/>
        <v>675</v>
      </c>
      <c r="E116" s="176">
        <v>1000</v>
      </c>
      <c r="F116" s="1107">
        <v>0.5</v>
      </c>
      <c r="G116" s="176">
        <v>0.25</v>
      </c>
      <c r="H116" s="172">
        <f t="shared" si="5"/>
        <v>6792.1875</v>
      </c>
      <c r="I116" s="162"/>
      <c r="J116" s="162"/>
      <c r="K116" s="162"/>
      <c r="L116" s="162"/>
      <c r="M116" s="162"/>
      <c r="N116" s="162"/>
      <c r="O116" s="162"/>
      <c r="P116" s="162"/>
      <c r="Q116" s="339">
        <f t="shared" si="6"/>
        <v>6792.1875</v>
      </c>
      <c r="R116" s="339">
        <f t="shared" si="7"/>
        <v>0</v>
      </c>
      <c r="S116" s="339">
        <f t="shared" si="8"/>
        <v>0</v>
      </c>
      <c r="T116" s="339">
        <f t="shared" si="9"/>
        <v>0</v>
      </c>
      <c r="U116" s="339">
        <f t="shared" si="10"/>
        <v>0</v>
      </c>
      <c r="V116" s="339">
        <f t="shared" si="11"/>
        <v>0</v>
      </c>
      <c r="W116" s="339">
        <f t="shared" si="12"/>
        <v>0</v>
      </c>
      <c r="X116" s="339">
        <f t="shared" si="13"/>
        <v>0</v>
      </c>
      <c r="Y116" s="339">
        <f t="shared" si="14"/>
        <v>0</v>
      </c>
      <c r="Z116" s="162"/>
      <c r="AA116" s="162"/>
      <c r="AB116" s="162"/>
      <c r="AC116" s="162"/>
      <c r="AD116" s="162"/>
    </row>
    <row r="117" spans="1:30">
      <c r="A117" s="838" t="s">
        <v>1420</v>
      </c>
      <c r="B117" s="169" t="s">
        <v>116</v>
      </c>
      <c r="C117" s="169" t="s">
        <v>121</v>
      </c>
      <c r="D117" s="143">
        <f t="shared" si="4"/>
        <v>675</v>
      </c>
      <c r="E117" s="176">
        <v>1000</v>
      </c>
      <c r="F117" s="1107">
        <v>0.5</v>
      </c>
      <c r="G117" s="176">
        <v>0.25</v>
      </c>
      <c r="H117" s="172">
        <f t="shared" si="5"/>
        <v>6792.1875</v>
      </c>
      <c r="I117" s="162"/>
      <c r="J117" s="162"/>
      <c r="K117" s="162"/>
      <c r="L117" s="162"/>
      <c r="M117" s="162"/>
      <c r="N117" s="162"/>
      <c r="O117" s="162"/>
      <c r="P117" s="162"/>
      <c r="Q117" s="339">
        <f t="shared" si="6"/>
        <v>6792.1875</v>
      </c>
      <c r="R117" s="339">
        <f t="shared" si="7"/>
        <v>0</v>
      </c>
      <c r="S117" s="339">
        <f t="shared" si="8"/>
        <v>0</v>
      </c>
      <c r="T117" s="339">
        <f t="shared" si="9"/>
        <v>0</v>
      </c>
      <c r="U117" s="339">
        <f t="shared" si="10"/>
        <v>0</v>
      </c>
      <c r="V117" s="339">
        <f t="shared" si="11"/>
        <v>0</v>
      </c>
      <c r="W117" s="339">
        <f t="shared" si="12"/>
        <v>0</v>
      </c>
      <c r="X117" s="339">
        <f t="shared" si="13"/>
        <v>0</v>
      </c>
      <c r="Y117" s="339">
        <f t="shared" si="14"/>
        <v>0</v>
      </c>
      <c r="Z117" s="162"/>
      <c r="AA117" s="162"/>
      <c r="AB117" s="162"/>
      <c r="AC117" s="162"/>
      <c r="AD117" s="162"/>
    </row>
    <row r="118" spans="1:30">
      <c r="A118" s="838" t="s">
        <v>1421</v>
      </c>
      <c r="B118" s="169" t="s">
        <v>116</v>
      </c>
      <c r="C118" s="169" t="s">
        <v>121</v>
      </c>
      <c r="D118" s="143">
        <f t="shared" si="4"/>
        <v>675</v>
      </c>
      <c r="E118" s="176">
        <v>1000</v>
      </c>
      <c r="F118" s="1107">
        <v>0.5</v>
      </c>
      <c r="G118" s="176">
        <v>0.25</v>
      </c>
      <c r="H118" s="172">
        <f t="shared" si="5"/>
        <v>6792.1875</v>
      </c>
      <c r="I118" s="162"/>
      <c r="J118" s="162"/>
      <c r="K118" s="162"/>
      <c r="L118" s="162"/>
      <c r="M118" s="162"/>
      <c r="N118" s="162"/>
      <c r="O118" s="162"/>
      <c r="P118" s="162"/>
      <c r="Q118" s="339">
        <f t="shared" si="6"/>
        <v>6792.1875</v>
      </c>
      <c r="R118" s="339">
        <f t="shared" si="7"/>
        <v>0</v>
      </c>
      <c r="S118" s="339">
        <f t="shared" si="8"/>
        <v>0</v>
      </c>
      <c r="T118" s="339">
        <f t="shared" si="9"/>
        <v>0</v>
      </c>
      <c r="U118" s="339">
        <f t="shared" si="10"/>
        <v>0</v>
      </c>
      <c r="V118" s="339">
        <f t="shared" si="11"/>
        <v>0</v>
      </c>
      <c r="W118" s="339">
        <f t="shared" si="12"/>
        <v>0</v>
      </c>
      <c r="X118" s="339">
        <f t="shared" si="13"/>
        <v>0</v>
      </c>
      <c r="Y118" s="339">
        <f t="shared" si="14"/>
        <v>0</v>
      </c>
      <c r="Z118" s="162"/>
      <c r="AA118" s="162"/>
      <c r="AB118" s="162"/>
      <c r="AC118" s="162"/>
      <c r="AD118" s="162"/>
    </row>
    <row r="119" spans="1:30">
      <c r="A119" s="838" t="s">
        <v>1422</v>
      </c>
      <c r="B119" s="169" t="s">
        <v>116</v>
      </c>
      <c r="C119" s="169" t="s">
        <v>121</v>
      </c>
      <c r="D119" s="143">
        <f t="shared" si="4"/>
        <v>675</v>
      </c>
      <c r="E119" s="176">
        <v>1000</v>
      </c>
      <c r="F119" s="1107">
        <v>0.5</v>
      </c>
      <c r="G119" s="176">
        <v>0.25</v>
      </c>
      <c r="H119" s="172">
        <f t="shared" si="5"/>
        <v>6792.1875</v>
      </c>
      <c r="I119" s="162"/>
      <c r="J119" s="162"/>
      <c r="K119" s="162"/>
      <c r="L119" s="162"/>
      <c r="M119" s="162"/>
      <c r="N119" s="162"/>
      <c r="O119" s="162"/>
      <c r="P119" s="162"/>
      <c r="Q119" s="339">
        <f t="shared" si="6"/>
        <v>6792.1875</v>
      </c>
      <c r="R119" s="339">
        <f t="shared" si="7"/>
        <v>0</v>
      </c>
      <c r="S119" s="339">
        <f t="shared" si="8"/>
        <v>0</v>
      </c>
      <c r="T119" s="339">
        <f t="shared" si="9"/>
        <v>0</v>
      </c>
      <c r="U119" s="339">
        <f t="shared" si="10"/>
        <v>0</v>
      </c>
      <c r="V119" s="339">
        <f t="shared" si="11"/>
        <v>0</v>
      </c>
      <c r="W119" s="339">
        <f t="shared" si="12"/>
        <v>0</v>
      </c>
      <c r="X119" s="339">
        <f t="shared" si="13"/>
        <v>0</v>
      </c>
      <c r="Y119" s="339">
        <f t="shared" si="14"/>
        <v>0</v>
      </c>
      <c r="Z119" s="162"/>
      <c r="AA119" s="162"/>
      <c r="AB119" s="162"/>
      <c r="AC119" s="162"/>
      <c r="AD119" s="162"/>
    </row>
    <row r="120" spans="1:30">
      <c r="A120" s="838" t="s">
        <v>1423</v>
      </c>
      <c r="B120" s="169" t="s">
        <v>116</v>
      </c>
      <c r="C120" s="169" t="s">
        <v>121</v>
      </c>
      <c r="D120" s="143">
        <f t="shared" si="4"/>
        <v>675</v>
      </c>
      <c r="E120" s="176">
        <v>1000</v>
      </c>
      <c r="F120" s="1107">
        <v>0.5</v>
      </c>
      <c r="G120" s="176">
        <v>0.25</v>
      </c>
      <c r="H120" s="172">
        <f t="shared" si="5"/>
        <v>6792.1875</v>
      </c>
      <c r="I120" s="162"/>
      <c r="J120" s="162"/>
      <c r="K120" s="162"/>
      <c r="L120" s="162"/>
      <c r="M120" s="162"/>
      <c r="N120" s="162"/>
      <c r="O120" s="162"/>
      <c r="P120" s="162"/>
      <c r="Q120" s="339">
        <f t="shared" si="6"/>
        <v>6792.1875</v>
      </c>
      <c r="R120" s="339">
        <f t="shared" si="7"/>
        <v>0</v>
      </c>
      <c r="S120" s="339">
        <f t="shared" si="8"/>
        <v>0</v>
      </c>
      <c r="T120" s="339">
        <f t="shared" si="9"/>
        <v>0</v>
      </c>
      <c r="U120" s="339">
        <f t="shared" si="10"/>
        <v>0</v>
      </c>
      <c r="V120" s="339">
        <f t="shared" si="11"/>
        <v>0</v>
      </c>
      <c r="W120" s="339">
        <f t="shared" si="12"/>
        <v>0</v>
      </c>
      <c r="X120" s="339">
        <f t="shared" si="13"/>
        <v>0</v>
      </c>
      <c r="Y120" s="339">
        <f t="shared" si="14"/>
        <v>0</v>
      </c>
      <c r="Z120" s="162"/>
      <c r="AA120" s="162"/>
      <c r="AB120" s="162"/>
      <c r="AC120" s="162"/>
      <c r="AD120" s="162"/>
    </row>
    <row r="121" spans="1:30">
      <c r="A121" s="838" t="s">
        <v>1424</v>
      </c>
      <c r="B121" s="169" t="s">
        <v>116</v>
      </c>
      <c r="C121" s="169" t="s">
        <v>121</v>
      </c>
      <c r="D121" s="143">
        <f t="shared" si="4"/>
        <v>675</v>
      </c>
      <c r="E121" s="176">
        <v>1000</v>
      </c>
      <c r="F121" s="1107">
        <v>0.5</v>
      </c>
      <c r="G121" s="176">
        <v>0.25</v>
      </c>
      <c r="H121" s="172">
        <f t="shared" si="5"/>
        <v>6792.1875</v>
      </c>
      <c r="I121" s="162"/>
      <c r="J121" s="162"/>
      <c r="K121" s="162"/>
      <c r="L121" s="162"/>
      <c r="M121" s="162"/>
      <c r="N121" s="162"/>
      <c r="O121" s="162"/>
      <c r="P121" s="162"/>
      <c r="Q121" s="339">
        <f t="shared" si="6"/>
        <v>6792.1875</v>
      </c>
      <c r="R121" s="339">
        <f t="shared" si="7"/>
        <v>0</v>
      </c>
      <c r="S121" s="339">
        <f t="shared" si="8"/>
        <v>0</v>
      </c>
      <c r="T121" s="339">
        <f t="shared" si="9"/>
        <v>0</v>
      </c>
      <c r="U121" s="339">
        <f t="shared" si="10"/>
        <v>0</v>
      </c>
      <c r="V121" s="339">
        <f t="shared" si="11"/>
        <v>0</v>
      </c>
      <c r="W121" s="339">
        <f t="shared" si="12"/>
        <v>0</v>
      </c>
      <c r="X121" s="339">
        <f t="shared" si="13"/>
        <v>0</v>
      </c>
      <c r="Y121" s="339">
        <f t="shared" si="14"/>
        <v>0</v>
      </c>
      <c r="Z121" s="162"/>
      <c r="AA121" s="162"/>
      <c r="AB121" s="162"/>
      <c r="AC121" s="162"/>
      <c r="AD121" s="162"/>
    </row>
    <row r="122" spans="1:30">
      <c r="A122" s="838" t="s">
        <v>1425</v>
      </c>
      <c r="B122" s="169" t="s">
        <v>116</v>
      </c>
      <c r="C122" s="169" t="s">
        <v>121</v>
      </c>
      <c r="D122" s="143">
        <f t="shared" si="4"/>
        <v>675</v>
      </c>
      <c r="E122" s="176">
        <v>1000</v>
      </c>
      <c r="F122" s="1107">
        <v>0.5</v>
      </c>
      <c r="G122" s="176">
        <v>0.25</v>
      </c>
      <c r="H122" s="172">
        <f t="shared" si="5"/>
        <v>6792.1875</v>
      </c>
      <c r="I122" s="162"/>
      <c r="J122" s="162"/>
      <c r="K122" s="162"/>
      <c r="L122" s="162"/>
      <c r="M122" s="162"/>
      <c r="N122" s="162"/>
      <c r="O122" s="162"/>
      <c r="P122" s="162"/>
      <c r="Q122" s="339">
        <f t="shared" si="6"/>
        <v>6792.1875</v>
      </c>
      <c r="R122" s="339">
        <f t="shared" si="7"/>
        <v>0</v>
      </c>
      <c r="S122" s="339">
        <f t="shared" si="8"/>
        <v>0</v>
      </c>
      <c r="T122" s="339">
        <f t="shared" si="9"/>
        <v>0</v>
      </c>
      <c r="U122" s="339">
        <f t="shared" si="10"/>
        <v>0</v>
      </c>
      <c r="V122" s="339">
        <f t="shared" si="11"/>
        <v>0</v>
      </c>
      <c r="W122" s="339">
        <f t="shared" si="12"/>
        <v>0</v>
      </c>
      <c r="X122" s="339">
        <f t="shared" si="13"/>
        <v>0</v>
      </c>
      <c r="Y122" s="339">
        <f t="shared" si="14"/>
        <v>0</v>
      </c>
      <c r="Z122" s="162"/>
      <c r="AA122" s="162"/>
      <c r="AB122" s="162"/>
      <c r="AC122" s="162"/>
      <c r="AD122" s="162"/>
    </row>
    <row r="123" spans="1:30">
      <c r="A123" s="838" t="s">
        <v>1426</v>
      </c>
      <c r="B123" s="169" t="s">
        <v>116</v>
      </c>
      <c r="C123" s="169" t="s">
        <v>121</v>
      </c>
      <c r="D123" s="143">
        <f t="shared" si="4"/>
        <v>675</v>
      </c>
      <c r="E123" s="176">
        <v>1000</v>
      </c>
      <c r="F123" s="1107">
        <v>0.5</v>
      </c>
      <c r="G123" s="176">
        <v>0.25</v>
      </c>
      <c r="H123" s="172">
        <f t="shared" si="5"/>
        <v>6792.1875</v>
      </c>
      <c r="I123" s="162"/>
      <c r="J123" s="162"/>
      <c r="K123" s="162"/>
      <c r="L123" s="162"/>
      <c r="M123" s="162"/>
      <c r="N123" s="162"/>
      <c r="O123" s="162"/>
      <c r="P123" s="162"/>
      <c r="Q123" s="339">
        <f t="shared" si="6"/>
        <v>6792.1875</v>
      </c>
      <c r="R123" s="339">
        <f t="shared" si="7"/>
        <v>0</v>
      </c>
      <c r="S123" s="339">
        <f t="shared" si="8"/>
        <v>0</v>
      </c>
      <c r="T123" s="339">
        <f t="shared" si="9"/>
        <v>0</v>
      </c>
      <c r="U123" s="339">
        <f t="shared" si="10"/>
        <v>0</v>
      </c>
      <c r="V123" s="339">
        <f t="shared" si="11"/>
        <v>0</v>
      </c>
      <c r="W123" s="339">
        <f t="shared" si="12"/>
        <v>0</v>
      </c>
      <c r="X123" s="339">
        <f t="shared" si="13"/>
        <v>0</v>
      </c>
      <c r="Y123" s="339">
        <f t="shared" si="14"/>
        <v>0</v>
      </c>
      <c r="Z123" s="162"/>
      <c r="AA123" s="162"/>
      <c r="AB123" s="162"/>
      <c r="AC123" s="162"/>
      <c r="AD123" s="162"/>
    </row>
    <row r="124" spans="1:30">
      <c r="A124" s="838" t="s">
        <v>1427</v>
      </c>
      <c r="B124" s="169" t="s">
        <v>116</v>
      </c>
      <c r="C124" s="169" t="s">
        <v>121</v>
      </c>
      <c r="D124" s="143">
        <f t="shared" si="4"/>
        <v>675</v>
      </c>
      <c r="E124" s="176">
        <v>1000</v>
      </c>
      <c r="F124" s="1107">
        <v>0.5</v>
      </c>
      <c r="G124" s="176">
        <v>0.25</v>
      </c>
      <c r="H124" s="172">
        <f t="shared" si="5"/>
        <v>6792.1875</v>
      </c>
      <c r="I124" s="162"/>
      <c r="J124" s="162"/>
      <c r="K124" s="162"/>
      <c r="L124" s="162"/>
      <c r="M124" s="162"/>
      <c r="N124" s="162"/>
      <c r="O124" s="162"/>
      <c r="P124" s="162"/>
      <c r="Q124" s="339">
        <f t="shared" si="6"/>
        <v>6792.1875</v>
      </c>
      <c r="R124" s="339">
        <f t="shared" si="7"/>
        <v>0</v>
      </c>
      <c r="S124" s="339">
        <f t="shared" si="8"/>
        <v>0</v>
      </c>
      <c r="T124" s="339">
        <f t="shared" si="9"/>
        <v>0</v>
      </c>
      <c r="U124" s="339">
        <f t="shared" si="10"/>
        <v>0</v>
      </c>
      <c r="V124" s="339">
        <f t="shared" si="11"/>
        <v>0</v>
      </c>
      <c r="W124" s="339">
        <f t="shared" si="12"/>
        <v>0</v>
      </c>
      <c r="X124" s="339">
        <f t="shared" si="13"/>
        <v>0</v>
      </c>
      <c r="Y124" s="339">
        <f t="shared" si="14"/>
        <v>0</v>
      </c>
      <c r="Z124" s="162"/>
      <c r="AA124" s="162"/>
      <c r="AB124" s="162"/>
      <c r="AC124" s="162"/>
      <c r="AD124" s="162"/>
    </row>
    <row r="125" spans="1:30">
      <c r="A125" s="838" t="s">
        <v>1428</v>
      </c>
      <c r="B125" s="169" t="s">
        <v>116</v>
      </c>
      <c r="C125" s="169" t="s">
        <v>121</v>
      </c>
      <c r="D125" s="143">
        <f t="shared" si="4"/>
        <v>675</v>
      </c>
      <c r="E125" s="176">
        <v>1000</v>
      </c>
      <c r="F125" s="1107">
        <v>0.5</v>
      </c>
      <c r="G125" s="176">
        <v>0.25</v>
      </c>
      <c r="H125" s="172">
        <f t="shared" si="5"/>
        <v>6792.1875</v>
      </c>
      <c r="I125" s="162"/>
      <c r="J125" s="162"/>
      <c r="K125" s="162"/>
      <c r="L125" s="162"/>
      <c r="M125" s="162"/>
      <c r="N125" s="162"/>
      <c r="O125" s="162"/>
      <c r="P125" s="162"/>
      <c r="Q125" s="339">
        <f t="shared" si="6"/>
        <v>6792.1875</v>
      </c>
      <c r="R125" s="339">
        <f t="shared" si="7"/>
        <v>0</v>
      </c>
      <c r="S125" s="339">
        <f t="shared" si="8"/>
        <v>0</v>
      </c>
      <c r="T125" s="339">
        <f t="shared" si="9"/>
        <v>0</v>
      </c>
      <c r="U125" s="339">
        <f t="shared" si="10"/>
        <v>0</v>
      </c>
      <c r="V125" s="339">
        <f t="shared" si="11"/>
        <v>0</v>
      </c>
      <c r="W125" s="339">
        <f t="shared" si="12"/>
        <v>0</v>
      </c>
      <c r="X125" s="339">
        <f t="shared" si="13"/>
        <v>0</v>
      </c>
      <c r="Y125" s="339">
        <f t="shared" si="14"/>
        <v>0</v>
      </c>
      <c r="Z125" s="162"/>
      <c r="AA125" s="162"/>
      <c r="AB125" s="162"/>
      <c r="AC125" s="162"/>
      <c r="AD125" s="162"/>
    </row>
    <row r="126" spans="1:30">
      <c r="A126" s="838" t="s">
        <v>1429</v>
      </c>
      <c r="B126" s="169" t="s">
        <v>116</v>
      </c>
      <c r="C126" s="169" t="s">
        <v>121</v>
      </c>
      <c r="D126" s="143">
        <f t="shared" si="4"/>
        <v>675</v>
      </c>
      <c r="E126" s="176">
        <v>1000</v>
      </c>
      <c r="F126" s="1107">
        <v>0.5</v>
      </c>
      <c r="G126" s="176">
        <v>0.25</v>
      </c>
      <c r="H126" s="172">
        <f t="shared" si="5"/>
        <v>6792.1875</v>
      </c>
      <c r="I126" s="162"/>
      <c r="J126" s="162"/>
      <c r="K126" s="162"/>
      <c r="L126" s="162"/>
      <c r="M126" s="162"/>
      <c r="N126" s="162"/>
      <c r="O126" s="162"/>
      <c r="P126" s="162"/>
      <c r="Q126" s="339">
        <f t="shared" si="6"/>
        <v>6792.1875</v>
      </c>
      <c r="R126" s="339">
        <f t="shared" si="7"/>
        <v>0</v>
      </c>
      <c r="S126" s="339">
        <f t="shared" si="8"/>
        <v>0</v>
      </c>
      <c r="T126" s="339">
        <f t="shared" si="9"/>
        <v>0</v>
      </c>
      <c r="U126" s="339">
        <f t="shared" si="10"/>
        <v>0</v>
      </c>
      <c r="V126" s="339">
        <f t="shared" si="11"/>
        <v>0</v>
      </c>
      <c r="W126" s="339">
        <f t="shared" si="12"/>
        <v>0</v>
      </c>
      <c r="X126" s="339">
        <f t="shared" si="13"/>
        <v>0</v>
      </c>
      <c r="Y126" s="339">
        <f t="shared" si="14"/>
        <v>0</v>
      </c>
      <c r="Z126" s="162"/>
      <c r="AA126" s="162"/>
      <c r="AB126" s="162"/>
      <c r="AC126" s="162"/>
      <c r="AD126" s="162"/>
    </row>
    <row r="127" spans="1:30">
      <c r="A127" s="838" t="s">
        <v>1430</v>
      </c>
      <c r="B127" s="169" t="s">
        <v>116</v>
      </c>
      <c r="C127" s="169" t="s">
        <v>121</v>
      </c>
      <c r="D127" s="143">
        <f t="shared" si="4"/>
        <v>675</v>
      </c>
      <c r="E127" s="176">
        <v>1000</v>
      </c>
      <c r="F127" s="1107">
        <v>0.5</v>
      </c>
      <c r="G127" s="176">
        <v>0.25</v>
      </c>
      <c r="H127" s="172">
        <f t="shared" si="5"/>
        <v>6792.1875</v>
      </c>
      <c r="I127" s="162"/>
      <c r="J127" s="162"/>
      <c r="K127" s="162"/>
      <c r="L127" s="162"/>
      <c r="M127" s="162"/>
      <c r="N127" s="162"/>
      <c r="O127" s="162"/>
      <c r="P127" s="162"/>
      <c r="Q127" s="339">
        <f t="shared" si="6"/>
        <v>6792.1875</v>
      </c>
      <c r="R127" s="339">
        <f t="shared" si="7"/>
        <v>0</v>
      </c>
      <c r="S127" s="339">
        <f t="shared" si="8"/>
        <v>0</v>
      </c>
      <c r="T127" s="339">
        <f t="shared" si="9"/>
        <v>0</v>
      </c>
      <c r="U127" s="339">
        <f t="shared" si="10"/>
        <v>0</v>
      </c>
      <c r="V127" s="339">
        <f t="shared" si="11"/>
        <v>0</v>
      </c>
      <c r="W127" s="339">
        <f t="shared" si="12"/>
        <v>0</v>
      </c>
      <c r="X127" s="339">
        <f t="shared" si="13"/>
        <v>0</v>
      </c>
      <c r="Y127" s="339">
        <f t="shared" si="14"/>
        <v>0</v>
      </c>
      <c r="Z127" s="162"/>
      <c r="AA127" s="162"/>
      <c r="AB127" s="162"/>
      <c r="AC127" s="162"/>
      <c r="AD127" s="162"/>
    </row>
    <row r="128" spans="1:30">
      <c r="A128" s="838" t="s">
        <v>1431</v>
      </c>
      <c r="B128" s="169" t="s">
        <v>116</v>
      </c>
      <c r="C128" s="169" t="s">
        <v>121</v>
      </c>
      <c r="D128" s="143">
        <f t="shared" si="4"/>
        <v>675</v>
      </c>
      <c r="E128" s="176">
        <v>1000</v>
      </c>
      <c r="F128" s="1107">
        <v>0.5</v>
      </c>
      <c r="G128" s="176">
        <v>0.25</v>
      </c>
      <c r="H128" s="172">
        <f t="shared" si="5"/>
        <v>6792.1875</v>
      </c>
      <c r="I128" s="162"/>
      <c r="J128" s="162"/>
      <c r="K128" s="162"/>
      <c r="L128" s="162"/>
      <c r="M128" s="162"/>
      <c r="N128" s="162"/>
      <c r="O128" s="162"/>
      <c r="P128" s="162"/>
      <c r="Q128" s="339">
        <f t="shared" si="6"/>
        <v>6792.1875</v>
      </c>
      <c r="R128" s="339">
        <f t="shared" si="7"/>
        <v>0</v>
      </c>
      <c r="S128" s="339">
        <f t="shared" si="8"/>
        <v>0</v>
      </c>
      <c r="T128" s="339">
        <f t="shared" si="9"/>
        <v>0</v>
      </c>
      <c r="U128" s="339">
        <f t="shared" si="10"/>
        <v>0</v>
      </c>
      <c r="V128" s="339">
        <f t="shared" si="11"/>
        <v>0</v>
      </c>
      <c r="W128" s="339">
        <f t="shared" si="12"/>
        <v>0</v>
      </c>
      <c r="X128" s="339">
        <f t="shared" si="13"/>
        <v>0</v>
      </c>
      <c r="Y128" s="339">
        <f t="shared" si="14"/>
        <v>0</v>
      </c>
      <c r="Z128" s="162"/>
      <c r="AA128" s="162"/>
      <c r="AB128" s="162"/>
      <c r="AC128" s="162"/>
      <c r="AD128" s="162"/>
    </row>
    <row r="129" spans="1:30">
      <c r="A129" s="838" t="s">
        <v>1432</v>
      </c>
      <c r="B129" s="169" t="s">
        <v>116</v>
      </c>
      <c r="C129" s="169" t="s">
        <v>121</v>
      </c>
      <c r="D129" s="143">
        <f t="shared" si="4"/>
        <v>675</v>
      </c>
      <c r="E129" s="176">
        <v>1000</v>
      </c>
      <c r="F129" s="1107">
        <v>0.5</v>
      </c>
      <c r="G129" s="176">
        <v>0.25</v>
      </c>
      <c r="H129" s="172">
        <f t="shared" si="5"/>
        <v>6792.1875</v>
      </c>
      <c r="I129" s="162"/>
      <c r="J129" s="162"/>
      <c r="K129" s="162"/>
      <c r="L129" s="162"/>
      <c r="M129" s="162"/>
      <c r="N129" s="162"/>
      <c r="O129" s="162"/>
      <c r="P129" s="162"/>
      <c r="Q129" s="339">
        <f t="shared" si="6"/>
        <v>6792.1875</v>
      </c>
      <c r="R129" s="339">
        <f t="shared" si="7"/>
        <v>0</v>
      </c>
      <c r="S129" s="339">
        <f t="shared" si="8"/>
        <v>0</v>
      </c>
      <c r="T129" s="339">
        <f t="shared" si="9"/>
        <v>0</v>
      </c>
      <c r="U129" s="339">
        <f t="shared" si="10"/>
        <v>0</v>
      </c>
      <c r="V129" s="339">
        <f t="shared" si="11"/>
        <v>0</v>
      </c>
      <c r="W129" s="339">
        <f t="shared" si="12"/>
        <v>0</v>
      </c>
      <c r="X129" s="339">
        <f t="shared" si="13"/>
        <v>0</v>
      </c>
      <c r="Y129" s="339">
        <f t="shared" si="14"/>
        <v>0</v>
      </c>
      <c r="Z129" s="162"/>
      <c r="AA129" s="162"/>
      <c r="AB129" s="162"/>
      <c r="AC129" s="162"/>
      <c r="AD129" s="162"/>
    </row>
    <row r="130" spans="1:30">
      <c r="A130" s="838" t="s">
        <v>1433</v>
      </c>
      <c r="B130" s="169" t="s">
        <v>116</v>
      </c>
      <c r="C130" s="169" t="s">
        <v>121</v>
      </c>
      <c r="D130" s="143">
        <f t="shared" si="4"/>
        <v>675</v>
      </c>
      <c r="E130" s="176">
        <v>1000</v>
      </c>
      <c r="F130" s="1107">
        <v>0.5</v>
      </c>
      <c r="G130" s="176">
        <v>0.25</v>
      </c>
      <c r="H130" s="172">
        <f t="shared" si="5"/>
        <v>6792.1875</v>
      </c>
      <c r="I130" s="162"/>
      <c r="J130" s="162"/>
      <c r="K130" s="162"/>
      <c r="L130" s="162"/>
      <c r="M130" s="162"/>
      <c r="N130" s="162"/>
      <c r="O130" s="162"/>
      <c r="P130" s="162"/>
      <c r="Q130" s="339">
        <f t="shared" si="6"/>
        <v>6792.1875</v>
      </c>
      <c r="R130" s="339">
        <f t="shared" si="7"/>
        <v>0</v>
      </c>
      <c r="S130" s="339">
        <f t="shared" si="8"/>
        <v>0</v>
      </c>
      <c r="T130" s="339">
        <f t="shared" si="9"/>
        <v>0</v>
      </c>
      <c r="U130" s="339">
        <f t="shared" si="10"/>
        <v>0</v>
      </c>
      <c r="V130" s="339">
        <f t="shared" si="11"/>
        <v>0</v>
      </c>
      <c r="W130" s="339">
        <f t="shared" si="12"/>
        <v>0</v>
      </c>
      <c r="X130" s="339">
        <f t="shared" si="13"/>
        <v>0</v>
      </c>
      <c r="Y130" s="339">
        <f t="shared" si="14"/>
        <v>0</v>
      </c>
      <c r="Z130" s="162"/>
      <c r="AA130" s="162"/>
      <c r="AB130" s="162"/>
      <c r="AC130" s="162"/>
      <c r="AD130" s="162"/>
    </row>
    <row r="131" spans="1:30">
      <c r="A131" s="838" t="s">
        <v>1434</v>
      </c>
      <c r="B131" s="169" t="s">
        <v>116</v>
      </c>
      <c r="C131" s="169" t="s">
        <v>121</v>
      </c>
      <c r="D131" s="143">
        <f t="shared" si="4"/>
        <v>675</v>
      </c>
      <c r="E131" s="176">
        <v>1000</v>
      </c>
      <c r="F131" s="1107">
        <v>0.5</v>
      </c>
      <c r="G131" s="176">
        <v>0.25</v>
      </c>
      <c r="H131" s="172">
        <f t="shared" si="5"/>
        <v>6792.1875</v>
      </c>
      <c r="I131" s="162"/>
      <c r="J131" s="162"/>
      <c r="K131" s="162"/>
      <c r="L131" s="162"/>
      <c r="M131" s="162"/>
      <c r="N131" s="162"/>
      <c r="O131" s="162"/>
      <c r="P131" s="162"/>
      <c r="Q131" s="339">
        <f t="shared" si="6"/>
        <v>6792.1875</v>
      </c>
      <c r="R131" s="339">
        <f t="shared" si="7"/>
        <v>0</v>
      </c>
      <c r="S131" s="339">
        <f t="shared" si="8"/>
        <v>0</v>
      </c>
      <c r="T131" s="339">
        <f t="shared" si="9"/>
        <v>0</v>
      </c>
      <c r="U131" s="339">
        <f t="shared" si="10"/>
        <v>0</v>
      </c>
      <c r="V131" s="339">
        <f t="shared" si="11"/>
        <v>0</v>
      </c>
      <c r="W131" s="339">
        <f t="shared" si="12"/>
        <v>0</v>
      </c>
      <c r="X131" s="339">
        <f t="shared" si="13"/>
        <v>0</v>
      </c>
      <c r="Y131" s="339">
        <f t="shared" si="14"/>
        <v>0</v>
      </c>
      <c r="Z131" s="162"/>
      <c r="AA131" s="162"/>
      <c r="AB131" s="162"/>
      <c r="AC131" s="162"/>
      <c r="AD131" s="162"/>
    </row>
    <row r="132" spans="1:30">
      <c r="A132" s="838" t="s">
        <v>1435</v>
      </c>
      <c r="B132" s="169" t="s">
        <v>116</v>
      </c>
      <c r="C132" s="169" t="s">
        <v>121</v>
      </c>
      <c r="D132" s="143">
        <f t="shared" ref="D132:D159" si="15">IF(ISNA(VLOOKUP($C132,GWP,2,FALSE)),"", VLOOKUP($C132,GWP,2,FALSE))</f>
        <v>675</v>
      </c>
      <c r="E132" s="176">
        <v>1000</v>
      </c>
      <c r="F132" s="1107">
        <v>0.5</v>
      </c>
      <c r="G132" s="176">
        <v>0.25</v>
      </c>
      <c r="H132" s="172">
        <f t="shared" ref="H132:H159" si="16">IF($D132="","",SUM($Q132:$Y132))</f>
        <v>6792.1875</v>
      </c>
      <c r="I132" s="162"/>
      <c r="J132" s="162"/>
      <c r="K132" s="162"/>
      <c r="L132" s="162"/>
      <c r="M132" s="162"/>
      <c r="N132" s="162"/>
      <c r="O132" s="162"/>
      <c r="P132" s="162"/>
      <c r="Q132" s="339">
        <f t="shared" si="6"/>
        <v>6792.1875</v>
      </c>
      <c r="R132" s="339">
        <f t="shared" si="7"/>
        <v>0</v>
      </c>
      <c r="S132" s="339">
        <f t="shared" si="8"/>
        <v>0</v>
      </c>
      <c r="T132" s="339">
        <f t="shared" si="9"/>
        <v>0</v>
      </c>
      <c r="U132" s="339">
        <f t="shared" si="10"/>
        <v>0</v>
      </c>
      <c r="V132" s="339">
        <f t="shared" si="11"/>
        <v>0</v>
      </c>
      <c r="W132" s="339">
        <f t="shared" si="12"/>
        <v>0</v>
      </c>
      <c r="X132" s="339">
        <f t="shared" si="13"/>
        <v>0</v>
      </c>
      <c r="Y132" s="339">
        <f t="shared" si="14"/>
        <v>0</v>
      </c>
      <c r="Z132" s="162"/>
      <c r="AA132" s="162"/>
      <c r="AB132" s="162"/>
      <c r="AC132" s="162"/>
      <c r="AD132" s="162"/>
    </row>
    <row r="133" spans="1:30">
      <c r="A133" s="838" t="s">
        <v>1436</v>
      </c>
      <c r="B133" s="169" t="s">
        <v>116</v>
      </c>
      <c r="C133" s="169" t="s">
        <v>121</v>
      </c>
      <c r="D133" s="143">
        <f t="shared" si="15"/>
        <v>675</v>
      </c>
      <c r="E133" s="176">
        <v>1000</v>
      </c>
      <c r="F133" s="1107">
        <v>0.5</v>
      </c>
      <c r="G133" s="176">
        <v>0.25</v>
      </c>
      <c r="H133" s="172">
        <f t="shared" si="16"/>
        <v>6792.1875</v>
      </c>
      <c r="I133" s="162"/>
      <c r="J133" s="162"/>
      <c r="K133" s="162"/>
      <c r="L133" s="162"/>
      <c r="M133" s="162"/>
      <c r="N133" s="162"/>
      <c r="O133" s="162"/>
      <c r="P133" s="162"/>
      <c r="Q133" s="339">
        <f t="shared" si="6"/>
        <v>6792.1875</v>
      </c>
      <c r="R133" s="339">
        <f t="shared" si="7"/>
        <v>0</v>
      </c>
      <c r="S133" s="339">
        <f t="shared" si="8"/>
        <v>0</v>
      </c>
      <c r="T133" s="339">
        <f t="shared" si="9"/>
        <v>0</v>
      </c>
      <c r="U133" s="339">
        <f t="shared" si="10"/>
        <v>0</v>
      </c>
      <c r="V133" s="339">
        <f t="shared" si="11"/>
        <v>0</v>
      </c>
      <c r="W133" s="339">
        <f t="shared" si="12"/>
        <v>0</v>
      </c>
      <c r="X133" s="339">
        <f t="shared" si="13"/>
        <v>0</v>
      </c>
      <c r="Y133" s="339">
        <f t="shared" si="14"/>
        <v>0</v>
      </c>
      <c r="Z133" s="162"/>
      <c r="AA133" s="162"/>
      <c r="AB133" s="162"/>
      <c r="AC133" s="162"/>
      <c r="AD133" s="162"/>
    </row>
    <row r="134" spans="1:30">
      <c r="A134" s="838" t="s">
        <v>1437</v>
      </c>
      <c r="B134" s="169" t="s">
        <v>116</v>
      </c>
      <c r="C134" s="169" t="s">
        <v>121</v>
      </c>
      <c r="D134" s="143">
        <f t="shared" si="15"/>
        <v>675</v>
      </c>
      <c r="E134" s="176">
        <v>1000</v>
      </c>
      <c r="F134" s="1107">
        <v>0.5</v>
      </c>
      <c r="G134" s="176">
        <v>0.25</v>
      </c>
      <c r="H134" s="172">
        <f t="shared" si="16"/>
        <v>6792.1875</v>
      </c>
      <c r="I134" s="162"/>
      <c r="J134" s="162"/>
      <c r="K134" s="162"/>
      <c r="L134" s="162"/>
      <c r="M134" s="162"/>
      <c r="N134" s="162"/>
      <c r="O134" s="162"/>
      <c r="P134" s="162"/>
      <c r="Q134" s="339">
        <f t="shared" si="6"/>
        <v>6792.1875</v>
      </c>
      <c r="R134" s="339">
        <f t="shared" si="7"/>
        <v>0</v>
      </c>
      <c r="S134" s="339">
        <f t="shared" si="8"/>
        <v>0</v>
      </c>
      <c r="T134" s="339">
        <f t="shared" si="9"/>
        <v>0</v>
      </c>
      <c r="U134" s="339">
        <f t="shared" si="10"/>
        <v>0</v>
      </c>
      <c r="V134" s="339">
        <f t="shared" si="11"/>
        <v>0</v>
      </c>
      <c r="W134" s="339">
        <f t="shared" si="12"/>
        <v>0</v>
      </c>
      <c r="X134" s="339">
        <f t="shared" si="13"/>
        <v>0</v>
      </c>
      <c r="Y134" s="339">
        <f t="shared" si="14"/>
        <v>0</v>
      </c>
      <c r="Z134" s="162"/>
      <c r="AA134" s="162"/>
      <c r="AB134" s="162"/>
      <c r="AC134" s="162"/>
      <c r="AD134" s="162"/>
    </row>
    <row r="135" spans="1:30">
      <c r="A135" s="838" t="s">
        <v>1438</v>
      </c>
      <c r="B135" s="169" t="s">
        <v>116</v>
      </c>
      <c r="C135" s="169" t="s">
        <v>121</v>
      </c>
      <c r="D135" s="143">
        <f t="shared" si="15"/>
        <v>675</v>
      </c>
      <c r="E135" s="176">
        <v>1000</v>
      </c>
      <c r="F135" s="1107">
        <v>0.5</v>
      </c>
      <c r="G135" s="176">
        <v>0.25</v>
      </c>
      <c r="H135" s="172">
        <f t="shared" si="16"/>
        <v>6792.1875</v>
      </c>
      <c r="I135" s="162"/>
      <c r="J135" s="162"/>
      <c r="K135" s="162"/>
      <c r="L135" s="162"/>
      <c r="M135" s="162"/>
      <c r="N135" s="162"/>
      <c r="O135" s="162"/>
      <c r="P135" s="162"/>
      <c r="Q135" s="339">
        <f t="shared" si="6"/>
        <v>6792.1875</v>
      </c>
      <c r="R135" s="339">
        <f t="shared" si="7"/>
        <v>0</v>
      </c>
      <c r="S135" s="339">
        <f t="shared" si="8"/>
        <v>0</v>
      </c>
      <c r="T135" s="339">
        <f t="shared" si="9"/>
        <v>0</v>
      </c>
      <c r="U135" s="339">
        <f t="shared" si="10"/>
        <v>0</v>
      </c>
      <c r="V135" s="339">
        <f t="shared" si="11"/>
        <v>0</v>
      </c>
      <c r="W135" s="339">
        <f t="shared" si="12"/>
        <v>0</v>
      </c>
      <c r="X135" s="339">
        <f t="shared" si="13"/>
        <v>0</v>
      </c>
      <c r="Y135" s="339">
        <f t="shared" si="14"/>
        <v>0</v>
      </c>
      <c r="Z135" s="162"/>
      <c r="AA135" s="162"/>
      <c r="AB135" s="162"/>
      <c r="AC135" s="162"/>
      <c r="AD135" s="162"/>
    </row>
    <row r="136" spans="1:30">
      <c r="A136" s="838" t="s">
        <v>1439</v>
      </c>
      <c r="B136" s="169" t="s">
        <v>116</v>
      </c>
      <c r="C136" s="169" t="s">
        <v>121</v>
      </c>
      <c r="D136" s="143">
        <f t="shared" si="15"/>
        <v>675</v>
      </c>
      <c r="E136" s="176">
        <v>1000</v>
      </c>
      <c r="F136" s="1107">
        <v>0.5</v>
      </c>
      <c r="G136" s="176">
        <v>0.25</v>
      </c>
      <c r="H136" s="172">
        <f t="shared" si="16"/>
        <v>6792.1875</v>
      </c>
      <c r="I136" s="162"/>
      <c r="J136" s="162"/>
      <c r="K136" s="162"/>
      <c r="L136" s="162"/>
      <c r="M136" s="162"/>
      <c r="N136" s="162"/>
      <c r="O136" s="162"/>
      <c r="P136" s="162"/>
      <c r="Q136" s="339">
        <f t="shared" si="6"/>
        <v>6792.1875</v>
      </c>
      <c r="R136" s="339">
        <f t="shared" si="7"/>
        <v>0</v>
      </c>
      <c r="S136" s="339">
        <f t="shared" si="8"/>
        <v>0</v>
      </c>
      <c r="T136" s="339">
        <f t="shared" si="9"/>
        <v>0</v>
      </c>
      <c r="U136" s="339">
        <f t="shared" si="10"/>
        <v>0</v>
      </c>
      <c r="V136" s="339">
        <f t="shared" si="11"/>
        <v>0</v>
      </c>
      <c r="W136" s="339">
        <f t="shared" si="12"/>
        <v>0</v>
      </c>
      <c r="X136" s="339">
        <f t="shared" si="13"/>
        <v>0</v>
      </c>
      <c r="Y136" s="339">
        <f t="shared" si="14"/>
        <v>0</v>
      </c>
      <c r="Z136" s="162"/>
      <c r="AA136" s="162"/>
      <c r="AB136" s="162"/>
      <c r="AC136" s="162"/>
      <c r="AD136" s="162"/>
    </row>
    <row r="137" spans="1:30">
      <c r="A137" s="838" t="s">
        <v>1440</v>
      </c>
      <c r="B137" s="169" t="s">
        <v>116</v>
      </c>
      <c r="C137" s="169" t="s">
        <v>121</v>
      </c>
      <c r="D137" s="143">
        <f t="shared" si="15"/>
        <v>675</v>
      </c>
      <c r="E137" s="176">
        <v>1000</v>
      </c>
      <c r="F137" s="1107">
        <v>0.5</v>
      </c>
      <c r="G137" s="176">
        <v>0.25</v>
      </c>
      <c r="H137" s="172">
        <f t="shared" si="16"/>
        <v>6792.1875</v>
      </c>
      <c r="I137" s="162"/>
      <c r="J137" s="162"/>
      <c r="K137" s="162"/>
      <c r="L137" s="162"/>
      <c r="M137" s="162"/>
      <c r="N137" s="162"/>
      <c r="O137" s="162"/>
      <c r="P137" s="162"/>
      <c r="Q137" s="339">
        <f t="shared" si="6"/>
        <v>6792.1875</v>
      </c>
      <c r="R137" s="339">
        <f t="shared" si="7"/>
        <v>0</v>
      </c>
      <c r="S137" s="339">
        <f t="shared" si="8"/>
        <v>0</v>
      </c>
      <c r="T137" s="339">
        <f t="shared" si="9"/>
        <v>0</v>
      </c>
      <c r="U137" s="339">
        <f t="shared" si="10"/>
        <v>0</v>
      </c>
      <c r="V137" s="339">
        <f t="shared" si="11"/>
        <v>0</v>
      </c>
      <c r="W137" s="339">
        <f t="shared" si="12"/>
        <v>0</v>
      </c>
      <c r="X137" s="339">
        <f t="shared" si="13"/>
        <v>0</v>
      </c>
      <c r="Y137" s="339">
        <f t="shared" si="14"/>
        <v>0</v>
      </c>
      <c r="Z137" s="162"/>
      <c r="AA137" s="162"/>
      <c r="AB137" s="162"/>
      <c r="AC137" s="162"/>
      <c r="AD137" s="162"/>
    </row>
    <row r="138" spans="1:30">
      <c r="A138" s="838" t="s">
        <v>1441</v>
      </c>
      <c r="B138" s="169" t="s">
        <v>116</v>
      </c>
      <c r="C138" s="169" t="s">
        <v>121</v>
      </c>
      <c r="D138" s="143">
        <f t="shared" si="15"/>
        <v>675</v>
      </c>
      <c r="E138" s="176">
        <v>1000</v>
      </c>
      <c r="F138" s="1107">
        <v>0.5</v>
      </c>
      <c r="G138" s="176">
        <v>0.25</v>
      </c>
      <c r="H138" s="172">
        <f t="shared" si="16"/>
        <v>6792.1875</v>
      </c>
      <c r="I138" s="162"/>
      <c r="J138" s="162"/>
      <c r="K138" s="162"/>
      <c r="L138" s="162"/>
      <c r="M138" s="162"/>
      <c r="N138" s="162"/>
      <c r="O138" s="162"/>
      <c r="P138" s="162"/>
      <c r="Q138" s="339">
        <f t="shared" si="6"/>
        <v>6792.1875</v>
      </c>
      <c r="R138" s="339">
        <f t="shared" si="7"/>
        <v>0</v>
      </c>
      <c r="S138" s="339">
        <f t="shared" si="8"/>
        <v>0</v>
      </c>
      <c r="T138" s="339">
        <f t="shared" si="9"/>
        <v>0</v>
      </c>
      <c r="U138" s="339">
        <f t="shared" si="10"/>
        <v>0</v>
      </c>
      <c r="V138" s="339">
        <f t="shared" si="11"/>
        <v>0</v>
      </c>
      <c r="W138" s="339">
        <f t="shared" si="12"/>
        <v>0</v>
      </c>
      <c r="X138" s="339">
        <f t="shared" si="13"/>
        <v>0</v>
      </c>
      <c r="Y138" s="339">
        <f t="shared" si="14"/>
        <v>0</v>
      </c>
      <c r="Z138" s="162"/>
      <c r="AA138" s="162"/>
      <c r="AB138" s="162"/>
      <c r="AC138" s="162"/>
      <c r="AD138" s="162"/>
    </row>
    <row r="139" spans="1:30">
      <c r="A139" s="838" t="s">
        <v>1442</v>
      </c>
      <c r="B139" s="169" t="s">
        <v>116</v>
      </c>
      <c r="C139" s="169" t="s">
        <v>121</v>
      </c>
      <c r="D139" s="143">
        <f t="shared" si="15"/>
        <v>675</v>
      </c>
      <c r="E139" s="176">
        <v>1000</v>
      </c>
      <c r="F139" s="1107">
        <v>0.5</v>
      </c>
      <c r="G139" s="176">
        <v>0.25</v>
      </c>
      <c r="H139" s="172">
        <f t="shared" si="16"/>
        <v>6792.1875</v>
      </c>
      <c r="I139" s="162"/>
      <c r="J139" s="162"/>
      <c r="K139" s="162"/>
      <c r="L139" s="162"/>
      <c r="M139" s="162"/>
      <c r="N139" s="162"/>
      <c r="O139" s="162"/>
      <c r="P139" s="162"/>
      <c r="Q139" s="339">
        <f t="shared" si="6"/>
        <v>6792.1875</v>
      </c>
      <c r="R139" s="339">
        <f t="shared" si="7"/>
        <v>0</v>
      </c>
      <c r="S139" s="339">
        <f t="shared" si="8"/>
        <v>0</v>
      </c>
      <c r="T139" s="339">
        <f t="shared" si="9"/>
        <v>0</v>
      </c>
      <c r="U139" s="339">
        <f t="shared" si="10"/>
        <v>0</v>
      </c>
      <c r="V139" s="339">
        <f t="shared" si="11"/>
        <v>0</v>
      </c>
      <c r="W139" s="339">
        <f t="shared" si="12"/>
        <v>0</v>
      </c>
      <c r="X139" s="339">
        <f t="shared" si="13"/>
        <v>0</v>
      </c>
      <c r="Y139" s="339">
        <f t="shared" si="14"/>
        <v>0</v>
      </c>
      <c r="Z139" s="162"/>
      <c r="AA139" s="162"/>
      <c r="AB139" s="162"/>
      <c r="AC139" s="162"/>
      <c r="AD139" s="162"/>
    </row>
    <row r="140" spans="1:30">
      <c r="A140" s="838" t="s">
        <v>1443</v>
      </c>
      <c r="B140" s="169" t="s">
        <v>116</v>
      </c>
      <c r="C140" s="169" t="s">
        <v>121</v>
      </c>
      <c r="D140" s="143">
        <f t="shared" si="15"/>
        <v>675</v>
      </c>
      <c r="E140" s="176">
        <v>1000</v>
      </c>
      <c r="F140" s="1107">
        <v>0.5</v>
      </c>
      <c r="G140" s="176">
        <v>0.25</v>
      </c>
      <c r="H140" s="172">
        <f t="shared" si="16"/>
        <v>6792.1875</v>
      </c>
      <c r="I140" s="162"/>
      <c r="J140" s="162"/>
      <c r="K140" s="162"/>
      <c r="L140" s="162"/>
      <c r="M140" s="162"/>
      <c r="N140" s="162"/>
      <c r="O140" s="162"/>
      <c r="P140" s="162"/>
      <c r="Q140" s="339">
        <f t="shared" si="6"/>
        <v>6792.1875</v>
      </c>
      <c r="R140" s="339">
        <f t="shared" si="7"/>
        <v>0</v>
      </c>
      <c r="S140" s="339">
        <f t="shared" si="8"/>
        <v>0</v>
      </c>
      <c r="T140" s="339">
        <f t="shared" si="9"/>
        <v>0</v>
      </c>
      <c r="U140" s="339">
        <f t="shared" si="10"/>
        <v>0</v>
      </c>
      <c r="V140" s="339">
        <f t="shared" si="11"/>
        <v>0</v>
      </c>
      <c r="W140" s="339">
        <f t="shared" si="12"/>
        <v>0</v>
      </c>
      <c r="X140" s="339">
        <f t="shared" si="13"/>
        <v>0</v>
      </c>
      <c r="Y140" s="339">
        <f t="shared" si="14"/>
        <v>0</v>
      </c>
      <c r="Z140" s="162"/>
      <c r="AA140" s="162"/>
      <c r="AB140" s="162"/>
      <c r="AC140" s="162"/>
      <c r="AD140" s="162"/>
    </row>
    <row r="141" spans="1:30">
      <c r="A141" s="838" t="s">
        <v>1444</v>
      </c>
      <c r="B141" s="169" t="s">
        <v>116</v>
      </c>
      <c r="C141" s="169" t="s">
        <v>121</v>
      </c>
      <c r="D141" s="143">
        <f t="shared" si="15"/>
        <v>675</v>
      </c>
      <c r="E141" s="176">
        <v>1000</v>
      </c>
      <c r="F141" s="1107">
        <v>0.5</v>
      </c>
      <c r="G141" s="176">
        <v>0.25</v>
      </c>
      <c r="H141" s="172">
        <f t="shared" si="16"/>
        <v>6792.1875</v>
      </c>
      <c r="I141" s="162"/>
      <c r="J141" s="162"/>
      <c r="K141" s="162"/>
      <c r="L141" s="162"/>
      <c r="M141" s="162"/>
      <c r="N141" s="162"/>
      <c r="O141" s="162"/>
      <c r="P141" s="162"/>
      <c r="Q141" s="339">
        <f t="shared" si="6"/>
        <v>6792.1875</v>
      </c>
      <c r="R141" s="339">
        <f t="shared" si="7"/>
        <v>0</v>
      </c>
      <c r="S141" s="339">
        <f t="shared" si="8"/>
        <v>0</v>
      </c>
      <c r="T141" s="339">
        <f t="shared" si="9"/>
        <v>0</v>
      </c>
      <c r="U141" s="339">
        <f t="shared" si="10"/>
        <v>0</v>
      </c>
      <c r="V141" s="339">
        <f t="shared" si="11"/>
        <v>0</v>
      </c>
      <c r="W141" s="339">
        <f t="shared" si="12"/>
        <v>0</v>
      </c>
      <c r="X141" s="339">
        <f t="shared" si="13"/>
        <v>0</v>
      </c>
      <c r="Y141" s="339">
        <f t="shared" si="14"/>
        <v>0</v>
      </c>
      <c r="Z141" s="162"/>
      <c r="AA141" s="162"/>
      <c r="AB141" s="162"/>
      <c r="AC141" s="162"/>
      <c r="AD141" s="162"/>
    </row>
    <row r="142" spans="1:30">
      <c r="A142" s="838" t="s">
        <v>1445</v>
      </c>
      <c r="B142" s="169" t="s">
        <v>116</v>
      </c>
      <c r="C142" s="169" t="s">
        <v>121</v>
      </c>
      <c r="D142" s="143">
        <f t="shared" si="15"/>
        <v>675</v>
      </c>
      <c r="E142" s="176">
        <v>1000</v>
      </c>
      <c r="F142" s="1107">
        <v>0.5</v>
      </c>
      <c r="G142" s="176">
        <v>0.25</v>
      </c>
      <c r="H142" s="172">
        <f t="shared" si="16"/>
        <v>6792.1875</v>
      </c>
      <c r="I142" s="162"/>
      <c r="J142" s="162"/>
      <c r="K142" s="162"/>
      <c r="L142" s="162"/>
      <c r="M142" s="162"/>
      <c r="N142" s="162"/>
      <c r="O142" s="162"/>
      <c r="P142" s="162"/>
      <c r="Q142" s="339">
        <f t="shared" si="6"/>
        <v>6792.1875</v>
      </c>
      <c r="R142" s="339">
        <f t="shared" si="7"/>
        <v>0</v>
      </c>
      <c r="S142" s="339">
        <f t="shared" si="8"/>
        <v>0</v>
      </c>
      <c r="T142" s="339">
        <f t="shared" si="9"/>
        <v>0</v>
      </c>
      <c r="U142" s="339">
        <f t="shared" si="10"/>
        <v>0</v>
      </c>
      <c r="V142" s="339">
        <f t="shared" si="11"/>
        <v>0</v>
      </c>
      <c r="W142" s="339">
        <f t="shared" si="12"/>
        <v>0</v>
      </c>
      <c r="X142" s="339">
        <f t="shared" si="13"/>
        <v>0</v>
      </c>
      <c r="Y142" s="339">
        <f t="shared" si="14"/>
        <v>0</v>
      </c>
      <c r="Z142" s="162"/>
      <c r="AA142" s="162"/>
      <c r="AB142" s="162"/>
      <c r="AC142" s="162"/>
      <c r="AD142" s="162"/>
    </row>
    <row r="143" spans="1:30">
      <c r="A143" s="838" t="s">
        <v>1446</v>
      </c>
      <c r="B143" s="169" t="s">
        <v>116</v>
      </c>
      <c r="C143" s="169" t="s">
        <v>121</v>
      </c>
      <c r="D143" s="143">
        <f t="shared" si="15"/>
        <v>675</v>
      </c>
      <c r="E143" s="176">
        <v>1000</v>
      </c>
      <c r="F143" s="1107">
        <v>0.5</v>
      </c>
      <c r="G143" s="176">
        <v>0.25</v>
      </c>
      <c r="H143" s="172">
        <f t="shared" si="16"/>
        <v>6792.1875</v>
      </c>
      <c r="I143" s="162"/>
      <c r="J143" s="162"/>
      <c r="K143" s="162"/>
      <c r="L143" s="162"/>
      <c r="M143" s="162"/>
      <c r="N143" s="162"/>
      <c r="O143" s="162"/>
      <c r="P143" s="162"/>
      <c r="Q143" s="339">
        <f t="shared" si="6"/>
        <v>6792.1875</v>
      </c>
      <c r="R143" s="339">
        <f t="shared" si="7"/>
        <v>0</v>
      </c>
      <c r="S143" s="339">
        <f t="shared" si="8"/>
        <v>0</v>
      </c>
      <c r="T143" s="339">
        <f t="shared" si="9"/>
        <v>0</v>
      </c>
      <c r="U143" s="339">
        <f t="shared" si="10"/>
        <v>0</v>
      </c>
      <c r="V143" s="339">
        <f t="shared" si="11"/>
        <v>0</v>
      </c>
      <c r="W143" s="339">
        <f t="shared" si="12"/>
        <v>0</v>
      </c>
      <c r="X143" s="339">
        <f t="shared" si="13"/>
        <v>0</v>
      </c>
      <c r="Y143" s="339">
        <f t="shared" si="14"/>
        <v>0</v>
      </c>
      <c r="Z143" s="162"/>
      <c r="AA143" s="162"/>
      <c r="AB143" s="162"/>
      <c r="AC143" s="162"/>
      <c r="AD143" s="162"/>
    </row>
    <row r="144" spans="1:30">
      <c r="A144" s="838" t="s">
        <v>1447</v>
      </c>
      <c r="B144" s="169" t="s">
        <v>116</v>
      </c>
      <c r="C144" s="169" t="s">
        <v>121</v>
      </c>
      <c r="D144" s="143">
        <f t="shared" si="15"/>
        <v>675</v>
      </c>
      <c r="E144" s="176">
        <v>1000</v>
      </c>
      <c r="F144" s="1107">
        <v>0.5</v>
      </c>
      <c r="G144" s="176">
        <v>0.25</v>
      </c>
      <c r="H144" s="172">
        <f t="shared" si="16"/>
        <v>6792.1875</v>
      </c>
      <c r="I144" s="162"/>
      <c r="J144" s="162"/>
      <c r="K144" s="162"/>
      <c r="L144" s="162"/>
      <c r="M144" s="162"/>
      <c r="N144" s="162"/>
      <c r="O144" s="162"/>
      <c r="P144" s="162"/>
      <c r="Q144" s="339">
        <f t="shared" si="6"/>
        <v>6792.1875</v>
      </c>
      <c r="R144" s="339">
        <f t="shared" si="7"/>
        <v>0</v>
      </c>
      <c r="S144" s="339">
        <f t="shared" si="8"/>
        <v>0</v>
      </c>
      <c r="T144" s="339">
        <f t="shared" si="9"/>
        <v>0</v>
      </c>
      <c r="U144" s="339">
        <f t="shared" si="10"/>
        <v>0</v>
      </c>
      <c r="V144" s="339">
        <f t="shared" si="11"/>
        <v>0</v>
      </c>
      <c r="W144" s="339">
        <f t="shared" si="12"/>
        <v>0</v>
      </c>
      <c r="X144" s="339">
        <f t="shared" si="13"/>
        <v>0</v>
      </c>
      <c r="Y144" s="339">
        <f t="shared" si="14"/>
        <v>0</v>
      </c>
      <c r="Z144" s="162"/>
      <c r="AA144" s="162"/>
      <c r="AB144" s="162"/>
      <c r="AC144" s="162"/>
      <c r="AD144" s="162"/>
    </row>
    <row r="145" spans="1:30">
      <c r="A145" s="838" t="s">
        <v>1448</v>
      </c>
      <c r="B145" s="169" t="s">
        <v>116</v>
      </c>
      <c r="C145" s="169" t="s">
        <v>121</v>
      </c>
      <c r="D145" s="143">
        <f t="shared" si="15"/>
        <v>675</v>
      </c>
      <c r="E145" s="176">
        <v>1000</v>
      </c>
      <c r="F145" s="1107">
        <v>0.5</v>
      </c>
      <c r="G145" s="176">
        <v>0.25</v>
      </c>
      <c r="H145" s="172">
        <f t="shared" si="16"/>
        <v>6792.1875</v>
      </c>
      <c r="I145" s="162"/>
      <c r="J145" s="162"/>
      <c r="K145" s="162"/>
      <c r="L145" s="162"/>
      <c r="M145" s="162"/>
      <c r="N145" s="162"/>
      <c r="O145" s="162"/>
      <c r="P145" s="162"/>
      <c r="Q145" s="339">
        <f t="shared" si="6"/>
        <v>6792.1875</v>
      </c>
      <c r="R145" s="339">
        <f t="shared" si="7"/>
        <v>0</v>
      </c>
      <c r="S145" s="339">
        <f t="shared" si="8"/>
        <v>0</v>
      </c>
      <c r="T145" s="339">
        <f t="shared" si="9"/>
        <v>0</v>
      </c>
      <c r="U145" s="339">
        <f t="shared" si="10"/>
        <v>0</v>
      </c>
      <c r="V145" s="339">
        <f t="shared" si="11"/>
        <v>0</v>
      </c>
      <c r="W145" s="339">
        <f t="shared" si="12"/>
        <v>0</v>
      </c>
      <c r="X145" s="339">
        <f t="shared" si="13"/>
        <v>0</v>
      </c>
      <c r="Y145" s="339">
        <f t="shared" si="14"/>
        <v>0</v>
      </c>
      <c r="Z145" s="162"/>
      <c r="AA145" s="162"/>
      <c r="AB145" s="162"/>
      <c r="AC145" s="162"/>
      <c r="AD145" s="162"/>
    </row>
    <row r="146" spans="1:30">
      <c r="A146" s="838" t="s">
        <v>1450</v>
      </c>
      <c r="B146" s="169" t="s">
        <v>116</v>
      </c>
      <c r="C146" s="169" t="s">
        <v>121</v>
      </c>
      <c r="D146" s="143">
        <f t="shared" si="15"/>
        <v>675</v>
      </c>
      <c r="E146" s="176">
        <v>1000</v>
      </c>
      <c r="F146" s="1107">
        <v>0.5</v>
      </c>
      <c r="G146" s="176">
        <v>0.25</v>
      </c>
      <c r="H146" s="172">
        <f t="shared" si="16"/>
        <v>6792.1875</v>
      </c>
      <c r="I146" s="162"/>
      <c r="J146" s="162"/>
      <c r="K146" s="162"/>
      <c r="L146" s="162"/>
      <c r="M146" s="162"/>
      <c r="N146" s="162"/>
      <c r="O146" s="162"/>
      <c r="P146" s="162"/>
      <c r="Q146" s="339">
        <f t="shared" si="6"/>
        <v>6792.1875</v>
      </c>
      <c r="R146" s="339">
        <f t="shared" si="7"/>
        <v>0</v>
      </c>
      <c r="S146" s="339">
        <f t="shared" si="8"/>
        <v>0</v>
      </c>
      <c r="T146" s="339">
        <f t="shared" si="9"/>
        <v>0</v>
      </c>
      <c r="U146" s="339">
        <f t="shared" si="10"/>
        <v>0</v>
      </c>
      <c r="V146" s="339">
        <f t="shared" si="11"/>
        <v>0</v>
      </c>
      <c r="W146" s="339">
        <f t="shared" si="12"/>
        <v>0</v>
      </c>
      <c r="X146" s="339">
        <f t="shared" si="13"/>
        <v>0</v>
      </c>
      <c r="Y146" s="339">
        <f t="shared" si="14"/>
        <v>0</v>
      </c>
      <c r="Z146" s="162"/>
      <c r="AA146" s="162"/>
      <c r="AB146" s="162"/>
      <c r="AC146" s="162"/>
      <c r="AD146" s="162"/>
    </row>
    <row r="147" spans="1:30">
      <c r="A147" s="838" t="s">
        <v>1451</v>
      </c>
      <c r="B147" s="169" t="s">
        <v>116</v>
      </c>
      <c r="C147" s="169" t="s">
        <v>121</v>
      </c>
      <c r="D147" s="143">
        <f t="shared" si="15"/>
        <v>675</v>
      </c>
      <c r="E147" s="176">
        <v>1000</v>
      </c>
      <c r="F147" s="1107">
        <v>0.5</v>
      </c>
      <c r="G147" s="176">
        <v>0.25</v>
      </c>
      <c r="H147" s="172">
        <f t="shared" si="16"/>
        <v>6792.1875</v>
      </c>
      <c r="I147" s="162"/>
      <c r="J147" s="162"/>
      <c r="K147" s="162"/>
      <c r="L147" s="162"/>
      <c r="M147" s="162"/>
      <c r="N147" s="162"/>
      <c r="O147" s="162"/>
      <c r="P147" s="162"/>
      <c r="Q147" s="339">
        <f t="shared" si="6"/>
        <v>6792.1875</v>
      </c>
      <c r="R147" s="339">
        <f t="shared" si="7"/>
        <v>0</v>
      </c>
      <c r="S147" s="339">
        <f t="shared" si="8"/>
        <v>0</v>
      </c>
      <c r="T147" s="339">
        <f t="shared" si="9"/>
        <v>0</v>
      </c>
      <c r="U147" s="339">
        <f t="shared" si="10"/>
        <v>0</v>
      </c>
      <c r="V147" s="339">
        <f t="shared" si="11"/>
        <v>0</v>
      </c>
      <c r="W147" s="339">
        <f t="shared" si="12"/>
        <v>0</v>
      </c>
      <c r="X147" s="339">
        <f t="shared" si="13"/>
        <v>0</v>
      </c>
      <c r="Y147" s="339">
        <f t="shared" si="14"/>
        <v>0</v>
      </c>
      <c r="Z147" s="162"/>
      <c r="AA147" s="162"/>
      <c r="AB147" s="162"/>
      <c r="AC147" s="162"/>
      <c r="AD147" s="162"/>
    </row>
    <row r="148" spans="1:30">
      <c r="A148" s="838" t="s">
        <v>1452</v>
      </c>
      <c r="B148" s="169" t="s">
        <v>116</v>
      </c>
      <c r="C148" s="169" t="s">
        <v>121</v>
      </c>
      <c r="D148" s="143">
        <f t="shared" si="15"/>
        <v>675</v>
      </c>
      <c r="E148" s="176">
        <v>1000</v>
      </c>
      <c r="F148" s="1107">
        <v>0.5</v>
      </c>
      <c r="G148" s="176">
        <v>0.25</v>
      </c>
      <c r="H148" s="172">
        <f t="shared" si="16"/>
        <v>6792.1875</v>
      </c>
      <c r="I148" s="162"/>
      <c r="J148" s="162"/>
      <c r="K148" s="162"/>
      <c r="L148" s="162"/>
      <c r="M148" s="162"/>
      <c r="N148" s="162"/>
      <c r="O148" s="162"/>
      <c r="P148" s="162"/>
      <c r="Q148" s="339">
        <f t="shared" si="6"/>
        <v>6792.1875</v>
      </c>
      <c r="R148" s="339">
        <f t="shared" si="7"/>
        <v>0</v>
      </c>
      <c r="S148" s="339">
        <f t="shared" si="8"/>
        <v>0</v>
      </c>
      <c r="T148" s="339">
        <f t="shared" si="9"/>
        <v>0</v>
      </c>
      <c r="U148" s="339">
        <f t="shared" si="10"/>
        <v>0</v>
      </c>
      <c r="V148" s="339">
        <f t="shared" si="11"/>
        <v>0</v>
      </c>
      <c r="W148" s="339">
        <f t="shared" si="12"/>
        <v>0</v>
      </c>
      <c r="X148" s="339">
        <f t="shared" si="13"/>
        <v>0</v>
      </c>
      <c r="Y148" s="339">
        <f t="shared" si="14"/>
        <v>0</v>
      </c>
      <c r="Z148" s="162"/>
      <c r="AA148" s="162"/>
      <c r="AB148" s="162"/>
      <c r="AC148" s="162"/>
      <c r="AD148" s="162"/>
    </row>
    <row r="149" spans="1:30">
      <c r="A149" s="838" t="s">
        <v>1453</v>
      </c>
      <c r="B149" s="169" t="s">
        <v>116</v>
      </c>
      <c r="C149" s="169" t="s">
        <v>121</v>
      </c>
      <c r="D149" s="143">
        <f t="shared" si="15"/>
        <v>675</v>
      </c>
      <c r="E149" s="176">
        <v>1000</v>
      </c>
      <c r="F149" s="1107">
        <v>0.5</v>
      </c>
      <c r="G149" s="176">
        <v>0.25</v>
      </c>
      <c r="H149" s="172">
        <f t="shared" si="16"/>
        <v>6792.1875</v>
      </c>
      <c r="I149" s="162"/>
      <c r="J149" s="162"/>
      <c r="K149" s="162"/>
      <c r="L149" s="162"/>
      <c r="M149" s="162"/>
      <c r="N149" s="162"/>
      <c r="O149" s="162"/>
      <c r="P149" s="162"/>
      <c r="Q149" s="339">
        <f t="shared" si="6"/>
        <v>6792.1875</v>
      </c>
      <c r="R149" s="339">
        <f t="shared" si="7"/>
        <v>0</v>
      </c>
      <c r="S149" s="339">
        <f t="shared" si="8"/>
        <v>0</v>
      </c>
      <c r="T149" s="339">
        <f t="shared" si="9"/>
        <v>0</v>
      </c>
      <c r="U149" s="339">
        <f t="shared" si="10"/>
        <v>0</v>
      </c>
      <c r="V149" s="339">
        <f t="shared" si="11"/>
        <v>0</v>
      </c>
      <c r="W149" s="339">
        <f t="shared" si="12"/>
        <v>0</v>
      </c>
      <c r="X149" s="339">
        <f t="shared" si="13"/>
        <v>0</v>
      </c>
      <c r="Y149" s="339">
        <f t="shared" si="14"/>
        <v>0</v>
      </c>
      <c r="Z149" s="162"/>
      <c r="AA149" s="162"/>
      <c r="AB149" s="162"/>
      <c r="AC149" s="162"/>
      <c r="AD149" s="162"/>
    </row>
    <row r="150" spans="1:30">
      <c r="A150" s="838" t="s">
        <v>1454</v>
      </c>
      <c r="B150" s="169" t="s">
        <v>116</v>
      </c>
      <c r="C150" s="169" t="s">
        <v>121</v>
      </c>
      <c r="D150" s="143">
        <f t="shared" si="15"/>
        <v>675</v>
      </c>
      <c r="E150" s="176">
        <v>1000</v>
      </c>
      <c r="F150" s="1107">
        <v>0.5</v>
      </c>
      <c r="G150" s="176">
        <v>0.25</v>
      </c>
      <c r="H150" s="172">
        <f t="shared" si="16"/>
        <v>6792.1875</v>
      </c>
      <c r="I150" s="162"/>
      <c r="J150" s="162"/>
      <c r="K150" s="162"/>
      <c r="L150" s="162"/>
      <c r="M150" s="162"/>
      <c r="N150" s="162"/>
      <c r="O150" s="162"/>
      <c r="P150" s="162"/>
      <c r="Q150" s="339">
        <f t="shared" si="6"/>
        <v>6792.1875</v>
      </c>
      <c r="R150" s="339">
        <f t="shared" si="7"/>
        <v>0</v>
      </c>
      <c r="S150" s="339">
        <f t="shared" si="8"/>
        <v>0</v>
      </c>
      <c r="T150" s="339">
        <f t="shared" si="9"/>
        <v>0</v>
      </c>
      <c r="U150" s="339">
        <f t="shared" si="10"/>
        <v>0</v>
      </c>
      <c r="V150" s="339">
        <f t="shared" si="11"/>
        <v>0</v>
      </c>
      <c r="W150" s="339">
        <f t="shared" si="12"/>
        <v>0</v>
      </c>
      <c r="X150" s="339">
        <f t="shared" si="13"/>
        <v>0</v>
      </c>
      <c r="Y150" s="339">
        <f t="shared" si="14"/>
        <v>0</v>
      </c>
      <c r="Z150" s="162"/>
      <c r="AA150" s="162"/>
      <c r="AB150" s="162"/>
      <c r="AC150" s="162"/>
      <c r="AD150" s="162"/>
    </row>
    <row r="151" spans="1:30">
      <c r="A151" s="838" t="s">
        <v>1455</v>
      </c>
      <c r="B151" s="169" t="s">
        <v>116</v>
      </c>
      <c r="C151" s="169" t="s">
        <v>121</v>
      </c>
      <c r="D151" s="143">
        <f t="shared" si="15"/>
        <v>675</v>
      </c>
      <c r="E151" s="176">
        <v>1000</v>
      </c>
      <c r="F151" s="1107">
        <v>0.5</v>
      </c>
      <c r="G151" s="176">
        <v>0.25</v>
      </c>
      <c r="H151" s="172">
        <f t="shared" si="16"/>
        <v>6792.1875</v>
      </c>
      <c r="I151" s="162"/>
      <c r="J151" s="162"/>
      <c r="K151" s="162"/>
      <c r="L151" s="162"/>
      <c r="M151" s="162"/>
      <c r="N151" s="162"/>
      <c r="O151" s="162"/>
      <c r="P151" s="162"/>
      <c r="Q151" s="339">
        <f t="shared" si="6"/>
        <v>6792.1875</v>
      </c>
      <c r="R151" s="339">
        <f t="shared" si="7"/>
        <v>0</v>
      </c>
      <c r="S151" s="339">
        <f t="shared" si="8"/>
        <v>0</v>
      </c>
      <c r="T151" s="339">
        <f t="shared" si="9"/>
        <v>0</v>
      </c>
      <c r="U151" s="339">
        <f t="shared" si="10"/>
        <v>0</v>
      </c>
      <c r="V151" s="339">
        <f t="shared" si="11"/>
        <v>0</v>
      </c>
      <c r="W151" s="339">
        <f t="shared" si="12"/>
        <v>0</v>
      </c>
      <c r="X151" s="339">
        <f t="shared" si="13"/>
        <v>0</v>
      </c>
      <c r="Y151" s="339">
        <f t="shared" si="14"/>
        <v>0</v>
      </c>
      <c r="Z151" s="162"/>
      <c r="AA151" s="162"/>
      <c r="AB151" s="162"/>
      <c r="AC151" s="162"/>
      <c r="AD151" s="162"/>
    </row>
    <row r="152" spans="1:30">
      <c r="A152" s="838" t="s">
        <v>1456</v>
      </c>
      <c r="B152" s="169" t="s">
        <v>116</v>
      </c>
      <c r="C152" s="169" t="s">
        <v>121</v>
      </c>
      <c r="D152" s="143">
        <f t="shared" si="15"/>
        <v>675</v>
      </c>
      <c r="E152" s="176">
        <v>1000</v>
      </c>
      <c r="F152" s="1107">
        <v>0.5</v>
      </c>
      <c r="G152" s="176">
        <v>0.25</v>
      </c>
      <c r="H152" s="172">
        <f t="shared" si="16"/>
        <v>6792.1875</v>
      </c>
      <c r="I152" s="162"/>
      <c r="J152" s="162"/>
      <c r="K152" s="162"/>
      <c r="L152" s="162"/>
      <c r="M152" s="162"/>
      <c r="N152" s="162"/>
      <c r="O152" s="162"/>
      <c r="P152" s="162"/>
      <c r="Q152" s="339">
        <f t="shared" si="6"/>
        <v>6792.1875</v>
      </c>
      <c r="R152" s="339">
        <f t="shared" si="7"/>
        <v>0</v>
      </c>
      <c r="S152" s="339">
        <f t="shared" si="8"/>
        <v>0</v>
      </c>
      <c r="T152" s="339">
        <f t="shared" si="9"/>
        <v>0</v>
      </c>
      <c r="U152" s="339">
        <f t="shared" si="10"/>
        <v>0</v>
      </c>
      <c r="V152" s="339">
        <f t="shared" si="11"/>
        <v>0</v>
      </c>
      <c r="W152" s="339">
        <f t="shared" si="12"/>
        <v>0</v>
      </c>
      <c r="X152" s="339">
        <f t="shared" si="13"/>
        <v>0</v>
      </c>
      <c r="Y152" s="339">
        <f t="shared" si="14"/>
        <v>0</v>
      </c>
      <c r="Z152" s="162"/>
      <c r="AA152" s="162"/>
      <c r="AB152" s="162"/>
      <c r="AC152" s="162"/>
      <c r="AD152" s="162"/>
    </row>
    <row r="153" spans="1:30">
      <c r="A153" s="838" t="s">
        <v>1457</v>
      </c>
      <c r="B153" s="169" t="s">
        <v>116</v>
      </c>
      <c r="C153" s="169" t="s">
        <v>121</v>
      </c>
      <c r="D153" s="143">
        <f t="shared" si="15"/>
        <v>675</v>
      </c>
      <c r="E153" s="176">
        <v>1000</v>
      </c>
      <c r="F153" s="1107">
        <v>0.5</v>
      </c>
      <c r="G153" s="176">
        <v>0.25</v>
      </c>
      <c r="H153" s="172">
        <f t="shared" si="16"/>
        <v>6792.1875</v>
      </c>
      <c r="I153" s="162"/>
      <c r="J153" s="162"/>
      <c r="K153" s="162"/>
      <c r="L153" s="162"/>
      <c r="M153" s="162"/>
      <c r="N153" s="162"/>
      <c r="O153" s="162"/>
      <c r="P153" s="162"/>
      <c r="Q153" s="339">
        <f t="shared" si="6"/>
        <v>6792.1875</v>
      </c>
      <c r="R153" s="339">
        <f t="shared" si="7"/>
        <v>0</v>
      </c>
      <c r="S153" s="339">
        <f t="shared" si="8"/>
        <v>0</v>
      </c>
      <c r="T153" s="339">
        <f t="shared" si="9"/>
        <v>0</v>
      </c>
      <c r="U153" s="339">
        <f t="shared" si="10"/>
        <v>0</v>
      </c>
      <c r="V153" s="339">
        <f t="shared" si="11"/>
        <v>0</v>
      </c>
      <c r="W153" s="339">
        <f t="shared" si="12"/>
        <v>0</v>
      </c>
      <c r="X153" s="339">
        <f t="shared" si="13"/>
        <v>0</v>
      </c>
      <c r="Y153" s="339">
        <f t="shared" si="14"/>
        <v>0</v>
      </c>
      <c r="Z153" s="162"/>
      <c r="AA153" s="162"/>
      <c r="AB153" s="162"/>
      <c r="AC153" s="162"/>
      <c r="AD153" s="162"/>
    </row>
    <row r="154" spans="1:30">
      <c r="A154" s="838" t="s">
        <v>1458</v>
      </c>
      <c r="B154" s="169" t="s">
        <v>116</v>
      </c>
      <c r="C154" s="169" t="s">
        <v>121</v>
      </c>
      <c r="D154" s="143">
        <f t="shared" si="15"/>
        <v>675</v>
      </c>
      <c r="E154" s="176">
        <v>1000</v>
      </c>
      <c r="F154" s="1107">
        <v>0.5</v>
      </c>
      <c r="G154" s="176">
        <v>0.25</v>
      </c>
      <c r="H154" s="172">
        <f t="shared" si="16"/>
        <v>6792.1875</v>
      </c>
      <c r="I154" s="162"/>
      <c r="J154" s="162"/>
      <c r="K154" s="162"/>
      <c r="L154" s="162"/>
      <c r="M154" s="162"/>
      <c r="N154" s="162"/>
      <c r="O154" s="162"/>
      <c r="P154" s="162"/>
      <c r="Q154" s="339">
        <f t="shared" si="6"/>
        <v>6792.1875</v>
      </c>
      <c r="R154" s="339">
        <f t="shared" si="7"/>
        <v>0</v>
      </c>
      <c r="S154" s="339">
        <f t="shared" si="8"/>
        <v>0</v>
      </c>
      <c r="T154" s="339">
        <f t="shared" si="9"/>
        <v>0</v>
      </c>
      <c r="U154" s="339">
        <f t="shared" si="10"/>
        <v>0</v>
      </c>
      <c r="V154" s="339">
        <f t="shared" si="11"/>
        <v>0</v>
      </c>
      <c r="W154" s="339">
        <f t="shared" si="12"/>
        <v>0</v>
      </c>
      <c r="X154" s="339">
        <f t="shared" si="13"/>
        <v>0</v>
      </c>
      <c r="Y154" s="339">
        <f t="shared" si="14"/>
        <v>0</v>
      </c>
      <c r="Z154" s="162"/>
      <c r="AA154" s="162"/>
      <c r="AB154" s="162"/>
      <c r="AC154" s="162"/>
      <c r="AD154" s="162"/>
    </row>
    <row r="155" spans="1:30">
      <c r="A155" s="838" t="s">
        <v>1459</v>
      </c>
      <c r="B155" s="169" t="s">
        <v>116</v>
      </c>
      <c r="C155" s="169" t="s">
        <v>121</v>
      </c>
      <c r="D155" s="143">
        <f t="shared" si="15"/>
        <v>675</v>
      </c>
      <c r="E155" s="176">
        <v>1000</v>
      </c>
      <c r="F155" s="1107">
        <v>0.5</v>
      </c>
      <c r="G155" s="176">
        <v>0.25</v>
      </c>
      <c r="H155" s="172">
        <f t="shared" si="16"/>
        <v>6792.1875</v>
      </c>
      <c r="I155" s="162"/>
      <c r="J155" s="162"/>
      <c r="K155" s="162"/>
      <c r="L155" s="162"/>
      <c r="M155" s="162"/>
      <c r="N155" s="162"/>
      <c r="O155" s="162"/>
      <c r="P155" s="162"/>
      <c r="Q155" s="339">
        <f t="shared" si="6"/>
        <v>6792.1875</v>
      </c>
      <c r="R155" s="339">
        <f t="shared" si="7"/>
        <v>0</v>
      </c>
      <c r="S155" s="339">
        <f t="shared" si="8"/>
        <v>0</v>
      </c>
      <c r="T155" s="339">
        <f t="shared" si="9"/>
        <v>0</v>
      </c>
      <c r="U155" s="339">
        <f t="shared" si="10"/>
        <v>0</v>
      </c>
      <c r="V155" s="339">
        <f t="shared" si="11"/>
        <v>0</v>
      </c>
      <c r="W155" s="339">
        <f t="shared" si="12"/>
        <v>0</v>
      </c>
      <c r="X155" s="339">
        <f t="shared" si="13"/>
        <v>0</v>
      </c>
      <c r="Y155" s="339">
        <f t="shared" si="14"/>
        <v>0</v>
      </c>
      <c r="Z155" s="162"/>
      <c r="AA155" s="162"/>
      <c r="AB155" s="162"/>
      <c r="AC155" s="162"/>
      <c r="AD155" s="162"/>
    </row>
    <row r="156" spans="1:30">
      <c r="A156" s="838" t="s">
        <v>1460</v>
      </c>
      <c r="B156" s="169" t="s">
        <v>116</v>
      </c>
      <c r="C156" s="169" t="s">
        <v>121</v>
      </c>
      <c r="D156" s="143">
        <f t="shared" si="15"/>
        <v>675</v>
      </c>
      <c r="E156" s="176">
        <v>1000</v>
      </c>
      <c r="F156" s="1107">
        <v>0.5</v>
      </c>
      <c r="G156" s="176">
        <v>0.25</v>
      </c>
      <c r="H156" s="172">
        <f t="shared" si="16"/>
        <v>6792.1875</v>
      </c>
      <c r="I156" s="162"/>
      <c r="J156" s="162"/>
      <c r="K156" s="162"/>
      <c r="L156" s="162"/>
      <c r="M156" s="162"/>
      <c r="N156" s="162"/>
      <c r="O156" s="162"/>
      <c r="P156" s="162"/>
      <c r="Q156" s="339">
        <f t="shared" si="6"/>
        <v>6792.1875</v>
      </c>
      <c r="R156" s="339">
        <f t="shared" si="7"/>
        <v>0</v>
      </c>
      <c r="S156" s="339">
        <f t="shared" si="8"/>
        <v>0</v>
      </c>
      <c r="T156" s="339">
        <f t="shared" si="9"/>
        <v>0</v>
      </c>
      <c r="U156" s="339">
        <f t="shared" si="10"/>
        <v>0</v>
      </c>
      <c r="V156" s="339">
        <f t="shared" si="11"/>
        <v>0</v>
      </c>
      <c r="W156" s="339">
        <f t="shared" si="12"/>
        <v>0</v>
      </c>
      <c r="X156" s="339">
        <f t="shared" si="13"/>
        <v>0</v>
      </c>
      <c r="Y156" s="339">
        <f t="shared" si="14"/>
        <v>0</v>
      </c>
      <c r="Z156" s="162"/>
      <c r="AA156" s="162"/>
      <c r="AB156" s="162"/>
      <c r="AC156" s="162"/>
      <c r="AD156" s="162"/>
    </row>
    <row r="157" spans="1:30">
      <c r="A157" s="838" t="s">
        <v>1461</v>
      </c>
      <c r="B157" s="169" t="s">
        <v>116</v>
      </c>
      <c r="C157" s="169" t="s">
        <v>121</v>
      </c>
      <c r="D157" s="143">
        <f t="shared" si="15"/>
        <v>675</v>
      </c>
      <c r="E157" s="176">
        <v>1000</v>
      </c>
      <c r="F157" s="1107">
        <v>0.5</v>
      </c>
      <c r="G157" s="176">
        <v>0.25</v>
      </c>
      <c r="H157" s="172">
        <f t="shared" si="16"/>
        <v>6792.1875</v>
      </c>
      <c r="I157" s="162"/>
      <c r="J157" s="162"/>
      <c r="K157" s="162"/>
      <c r="L157" s="162"/>
      <c r="M157" s="162"/>
      <c r="N157" s="162"/>
      <c r="O157" s="162"/>
      <c r="P157" s="162"/>
      <c r="Q157" s="339">
        <f t="shared" si="6"/>
        <v>6792.1875</v>
      </c>
      <c r="R157" s="339">
        <f t="shared" si="7"/>
        <v>0</v>
      </c>
      <c r="S157" s="339">
        <f t="shared" si="8"/>
        <v>0</v>
      </c>
      <c r="T157" s="339">
        <f t="shared" si="9"/>
        <v>0</v>
      </c>
      <c r="U157" s="339">
        <f t="shared" si="10"/>
        <v>0</v>
      </c>
      <c r="V157" s="339">
        <f t="shared" si="11"/>
        <v>0</v>
      </c>
      <c r="W157" s="339">
        <f t="shared" si="12"/>
        <v>0</v>
      </c>
      <c r="X157" s="339">
        <f t="shared" si="13"/>
        <v>0</v>
      </c>
      <c r="Y157" s="339">
        <f t="shared" si="14"/>
        <v>0</v>
      </c>
      <c r="Z157" s="162"/>
      <c r="AA157" s="162"/>
      <c r="AB157" s="162"/>
      <c r="AC157" s="162"/>
      <c r="AD157" s="162"/>
    </row>
    <row r="158" spans="1:30">
      <c r="A158" s="838" t="s">
        <v>1462</v>
      </c>
      <c r="B158" s="169" t="s">
        <v>116</v>
      </c>
      <c r="C158" s="169" t="s">
        <v>121</v>
      </c>
      <c r="D158" s="143">
        <f t="shared" si="15"/>
        <v>675</v>
      </c>
      <c r="E158" s="176">
        <v>1000</v>
      </c>
      <c r="F158" s="1107">
        <v>0.5</v>
      </c>
      <c r="G158" s="176">
        <v>0.25</v>
      </c>
      <c r="H158" s="172">
        <f t="shared" si="16"/>
        <v>6792.1875</v>
      </c>
      <c r="I158" s="162"/>
      <c r="J158" s="162"/>
      <c r="K158" s="162"/>
      <c r="L158" s="162"/>
      <c r="M158" s="162"/>
      <c r="N158" s="162"/>
      <c r="O158" s="162"/>
      <c r="P158" s="162"/>
      <c r="Q158" s="339">
        <f t="shared" si="6"/>
        <v>6792.1875</v>
      </c>
      <c r="R158" s="339">
        <f t="shared" si="7"/>
        <v>0</v>
      </c>
      <c r="S158" s="339">
        <f t="shared" si="8"/>
        <v>0</v>
      </c>
      <c r="T158" s="339">
        <f t="shared" si="9"/>
        <v>0</v>
      </c>
      <c r="U158" s="339">
        <f t="shared" si="10"/>
        <v>0</v>
      </c>
      <c r="V158" s="339">
        <f t="shared" si="11"/>
        <v>0</v>
      </c>
      <c r="W158" s="339">
        <f t="shared" si="12"/>
        <v>0</v>
      </c>
      <c r="X158" s="339">
        <f t="shared" si="13"/>
        <v>0</v>
      </c>
      <c r="Y158" s="339">
        <f t="shared" si="14"/>
        <v>0</v>
      </c>
      <c r="Z158" s="162"/>
      <c r="AA158" s="162"/>
      <c r="AB158" s="162"/>
      <c r="AC158" s="162"/>
      <c r="AD158" s="162"/>
    </row>
    <row r="159" spans="1:30">
      <c r="A159" s="838" t="s">
        <v>1463</v>
      </c>
      <c r="B159" s="169" t="s">
        <v>116</v>
      </c>
      <c r="C159" s="169" t="s">
        <v>121</v>
      </c>
      <c r="D159" s="143">
        <f t="shared" si="15"/>
        <v>675</v>
      </c>
      <c r="E159" s="176">
        <v>1000</v>
      </c>
      <c r="F159" s="1107">
        <v>0.5</v>
      </c>
      <c r="G159" s="176">
        <v>0.25</v>
      </c>
      <c r="H159" s="172">
        <f t="shared" si="16"/>
        <v>6792.1875</v>
      </c>
      <c r="I159" s="162"/>
      <c r="J159" s="162"/>
      <c r="K159" s="162"/>
      <c r="L159" s="162"/>
      <c r="M159" s="162"/>
      <c r="N159" s="162"/>
      <c r="O159" s="162"/>
      <c r="P159" s="162"/>
      <c r="Q159" s="339">
        <f t="shared" si="6"/>
        <v>6792.1875</v>
      </c>
      <c r="R159" s="339">
        <f t="shared" si="7"/>
        <v>0</v>
      </c>
      <c r="S159" s="339">
        <f t="shared" si="8"/>
        <v>0</v>
      </c>
      <c r="T159" s="339">
        <f t="shared" si="9"/>
        <v>0</v>
      </c>
      <c r="U159" s="339">
        <f t="shared" si="10"/>
        <v>0</v>
      </c>
      <c r="V159" s="339">
        <f t="shared" si="11"/>
        <v>0</v>
      </c>
      <c r="W159" s="339">
        <f t="shared" si="12"/>
        <v>0</v>
      </c>
      <c r="X159" s="339">
        <f t="shared" si="13"/>
        <v>0</v>
      </c>
      <c r="Y159" s="339">
        <f t="shared" si="14"/>
        <v>0</v>
      </c>
      <c r="Z159" s="162"/>
      <c r="AA159" s="162"/>
      <c r="AB159" s="162"/>
      <c r="AC159" s="162"/>
      <c r="AD159" s="162"/>
    </row>
    <row r="160" spans="1:30">
      <c r="A160" s="838" t="s">
        <v>1464</v>
      </c>
      <c r="B160" s="169" t="s">
        <v>116</v>
      </c>
      <c r="C160" s="169" t="s">
        <v>121</v>
      </c>
      <c r="D160" s="143">
        <f t="shared" si="4"/>
        <v>675</v>
      </c>
      <c r="E160" s="176">
        <v>1000</v>
      </c>
      <c r="F160" s="1107">
        <v>0.5</v>
      </c>
      <c r="G160" s="176">
        <v>0.25</v>
      </c>
      <c r="H160" s="172">
        <f t="shared" si="5"/>
        <v>6792.1875</v>
      </c>
      <c r="I160" s="162"/>
      <c r="J160" s="162"/>
      <c r="K160" s="162"/>
      <c r="L160" s="162"/>
      <c r="M160" s="162"/>
      <c r="N160" s="162"/>
      <c r="O160" s="162"/>
      <c r="P160" s="162"/>
      <c r="Q160" s="339">
        <f t="shared" si="6"/>
        <v>6792.1875</v>
      </c>
      <c r="R160" s="339">
        <f t="shared" si="7"/>
        <v>0</v>
      </c>
      <c r="S160" s="339">
        <f t="shared" si="8"/>
        <v>0</v>
      </c>
      <c r="T160" s="339">
        <f t="shared" si="9"/>
        <v>0</v>
      </c>
      <c r="U160" s="339">
        <f t="shared" si="10"/>
        <v>0</v>
      </c>
      <c r="V160" s="339">
        <f t="shared" si="11"/>
        <v>0</v>
      </c>
      <c r="W160" s="339">
        <f t="shared" si="12"/>
        <v>0</v>
      </c>
      <c r="X160" s="339">
        <f t="shared" si="13"/>
        <v>0</v>
      </c>
      <c r="Y160" s="339">
        <f t="shared" si="14"/>
        <v>0</v>
      </c>
      <c r="Z160" s="162"/>
      <c r="AA160" s="162"/>
      <c r="AB160" s="162"/>
      <c r="AC160" s="162"/>
      <c r="AD160" s="162"/>
    </row>
    <row r="161" spans="1:30">
      <c r="A161" s="838" t="s">
        <v>1465</v>
      </c>
      <c r="B161" s="169" t="s">
        <v>116</v>
      </c>
      <c r="C161" s="169" t="s">
        <v>121</v>
      </c>
      <c r="D161" s="143">
        <f t="shared" si="4"/>
        <v>675</v>
      </c>
      <c r="E161" s="176">
        <v>1000</v>
      </c>
      <c r="F161" s="1107">
        <v>0.5</v>
      </c>
      <c r="G161" s="176">
        <v>0.25</v>
      </c>
      <c r="H161" s="172">
        <f t="shared" si="5"/>
        <v>6792.1875</v>
      </c>
      <c r="I161" s="162"/>
      <c r="J161" s="162"/>
      <c r="K161" s="162"/>
      <c r="L161" s="162"/>
      <c r="M161" s="162"/>
      <c r="N161" s="162"/>
      <c r="O161" s="162"/>
      <c r="P161" s="162"/>
      <c r="Q161" s="339">
        <f t="shared" si="6"/>
        <v>6792.1875</v>
      </c>
      <c r="R161" s="339">
        <f t="shared" si="7"/>
        <v>0</v>
      </c>
      <c r="S161" s="339">
        <f t="shared" si="8"/>
        <v>0</v>
      </c>
      <c r="T161" s="339">
        <f t="shared" si="9"/>
        <v>0</v>
      </c>
      <c r="U161" s="339">
        <f t="shared" si="10"/>
        <v>0</v>
      </c>
      <c r="V161" s="339">
        <f t="shared" si="11"/>
        <v>0</v>
      </c>
      <c r="W161" s="339">
        <f t="shared" si="12"/>
        <v>0</v>
      </c>
      <c r="X161" s="339">
        <f t="shared" si="13"/>
        <v>0</v>
      </c>
      <c r="Y161" s="339">
        <f t="shared" si="14"/>
        <v>0</v>
      </c>
      <c r="Z161" s="162"/>
      <c r="AA161" s="162"/>
      <c r="AB161" s="162"/>
      <c r="AC161" s="162"/>
      <c r="AD161" s="162"/>
    </row>
    <row r="162" spans="1:30">
      <c r="A162" s="838" t="s">
        <v>1466</v>
      </c>
      <c r="B162" s="169" t="s">
        <v>116</v>
      </c>
      <c r="C162" s="169" t="s">
        <v>121</v>
      </c>
      <c r="D162" s="143">
        <f t="shared" si="4"/>
        <v>675</v>
      </c>
      <c r="E162" s="176">
        <v>1000</v>
      </c>
      <c r="F162" s="1107">
        <v>0.5</v>
      </c>
      <c r="G162" s="176">
        <v>0.25</v>
      </c>
      <c r="H162" s="172">
        <f t="shared" si="5"/>
        <v>6792.1875</v>
      </c>
      <c r="I162" s="162"/>
      <c r="J162" s="162"/>
      <c r="K162" s="162"/>
      <c r="L162" s="162"/>
      <c r="M162" s="162"/>
      <c r="N162" s="162"/>
      <c r="O162" s="162"/>
      <c r="P162" s="162"/>
      <c r="Q162" s="339">
        <f t="shared" si="6"/>
        <v>6792.1875</v>
      </c>
      <c r="R162" s="339">
        <f t="shared" si="7"/>
        <v>0</v>
      </c>
      <c r="S162" s="339">
        <f t="shared" si="8"/>
        <v>0</v>
      </c>
      <c r="T162" s="339">
        <f t="shared" si="9"/>
        <v>0</v>
      </c>
      <c r="U162" s="339">
        <f t="shared" si="10"/>
        <v>0</v>
      </c>
      <c r="V162" s="339">
        <f t="shared" si="11"/>
        <v>0</v>
      </c>
      <c r="W162" s="339">
        <f t="shared" si="12"/>
        <v>0</v>
      </c>
      <c r="X162" s="339">
        <f t="shared" si="13"/>
        <v>0</v>
      </c>
      <c r="Y162" s="339">
        <f t="shared" si="14"/>
        <v>0</v>
      </c>
      <c r="Z162" s="162"/>
      <c r="AA162" s="162"/>
      <c r="AB162" s="162"/>
      <c r="AC162" s="162"/>
      <c r="AD162" s="162"/>
    </row>
    <row r="163" spans="1:30">
      <c r="A163" s="838" t="s">
        <v>1467</v>
      </c>
      <c r="B163" s="169" t="s">
        <v>116</v>
      </c>
      <c r="C163" s="169" t="s">
        <v>121</v>
      </c>
      <c r="D163" s="143">
        <f t="shared" si="4"/>
        <v>675</v>
      </c>
      <c r="E163" s="176">
        <v>1000</v>
      </c>
      <c r="F163" s="1107">
        <v>0.5</v>
      </c>
      <c r="G163" s="176">
        <v>0.25</v>
      </c>
      <c r="H163" s="172">
        <f t="shared" si="5"/>
        <v>6792.1875</v>
      </c>
      <c r="I163" s="162"/>
      <c r="J163" s="162"/>
      <c r="K163" s="162"/>
      <c r="L163" s="162"/>
      <c r="M163" s="162"/>
      <c r="N163" s="162"/>
      <c r="O163" s="162"/>
      <c r="P163" s="162"/>
      <c r="Q163" s="339">
        <f t="shared" si="6"/>
        <v>6792.1875</v>
      </c>
      <c r="R163" s="339">
        <f t="shared" si="7"/>
        <v>0</v>
      </c>
      <c r="S163" s="339">
        <f t="shared" si="8"/>
        <v>0</v>
      </c>
      <c r="T163" s="339">
        <f t="shared" si="9"/>
        <v>0</v>
      </c>
      <c r="U163" s="339">
        <f t="shared" si="10"/>
        <v>0</v>
      </c>
      <c r="V163" s="339">
        <f t="shared" si="11"/>
        <v>0</v>
      </c>
      <c r="W163" s="339">
        <f t="shared" si="12"/>
        <v>0</v>
      </c>
      <c r="X163" s="339">
        <f t="shared" si="13"/>
        <v>0</v>
      </c>
      <c r="Y163" s="339">
        <f t="shared" si="14"/>
        <v>0</v>
      </c>
      <c r="Z163" s="162"/>
      <c r="AA163" s="162"/>
      <c r="AB163" s="162"/>
      <c r="AC163" s="162"/>
      <c r="AD163" s="162"/>
    </row>
    <row r="164" spans="1:30">
      <c r="A164" s="838" t="s">
        <v>1468</v>
      </c>
      <c r="B164" s="169" t="s">
        <v>116</v>
      </c>
      <c r="C164" s="169" t="s">
        <v>121</v>
      </c>
      <c r="D164" s="143">
        <f t="shared" ref="D164:D227" si="17">IF(ISNA(VLOOKUP($C164,GWP,2,FALSE)),"", VLOOKUP($C164,GWP,2,FALSE))</f>
        <v>675</v>
      </c>
      <c r="E164" s="176">
        <v>1000</v>
      </c>
      <c r="F164" s="1107">
        <v>0.5</v>
      </c>
      <c r="G164" s="176">
        <v>0.25</v>
      </c>
      <c r="H164" s="172">
        <f t="shared" si="5"/>
        <v>6792.1875</v>
      </c>
      <c r="I164" s="162"/>
      <c r="J164" s="162"/>
      <c r="K164" s="162"/>
      <c r="L164" s="162"/>
      <c r="M164" s="162"/>
      <c r="N164" s="162"/>
      <c r="O164" s="162"/>
      <c r="P164" s="162"/>
      <c r="Q164" s="339">
        <f t="shared" si="6"/>
        <v>6792.1875</v>
      </c>
      <c r="R164" s="339">
        <f t="shared" si="7"/>
        <v>0</v>
      </c>
      <c r="S164" s="339">
        <f t="shared" si="8"/>
        <v>0</v>
      </c>
      <c r="T164" s="339">
        <f t="shared" si="9"/>
        <v>0</v>
      </c>
      <c r="U164" s="339">
        <f t="shared" si="10"/>
        <v>0</v>
      </c>
      <c r="V164" s="339">
        <f t="shared" si="11"/>
        <v>0</v>
      </c>
      <c r="W164" s="339">
        <f t="shared" si="12"/>
        <v>0</v>
      </c>
      <c r="X164" s="339">
        <f t="shared" si="13"/>
        <v>0</v>
      </c>
      <c r="Y164" s="339">
        <f t="shared" si="14"/>
        <v>0</v>
      </c>
      <c r="Z164" s="162"/>
      <c r="AA164" s="162"/>
      <c r="AB164" s="162"/>
      <c r="AC164" s="162"/>
      <c r="AD164" s="162"/>
    </row>
    <row r="165" spans="1:30">
      <c r="A165" s="838" t="s">
        <v>1469</v>
      </c>
      <c r="B165" s="169" t="s">
        <v>116</v>
      </c>
      <c r="C165" s="169" t="s">
        <v>121</v>
      </c>
      <c r="D165" s="143">
        <f t="shared" si="17"/>
        <v>675</v>
      </c>
      <c r="E165" s="176">
        <v>1000</v>
      </c>
      <c r="F165" s="1107">
        <v>0.5</v>
      </c>
      <c r="G165" s="176">
        <v>0.25</v>
      </c>
      <c r="H165" s="172">
        <f t="shared" si="5"/>
        <v>6792.1875</v>
      </c>
      <c r="I165" s="162"/>
      <c r="J165" s="162"/>
      <c r="K165" s="162"/>
      <c r="L165" s="162"/>
      <c r="M165" s="162"/>
      <c r="N165" s="162"/>
      <c r="O165" s="162"/>
      <c r="P165" s="162"/>
      <c r="Q165" s="339">
        <f t="shared" si="6"/>
        <v>6792.1875</v>
      </c>
      <c r="R165" s="339">
        <f t="shared" si="7"/>
        <v>0</v>
      </c>
      <c r="S165" s="339">
        <f t="shared" si="8"/>
        <v>0</v>
      </c>
      <c r="T165" s="339">
        <f t="shared" si="9"/>
        <v>0</v>
      </c>
      <c r="U165" s="339">
        <f t="shared" si="10"/>
        <v>0</v>
      </c>
      <c r="V165" s="339">
        <f t="shared" si="11"/>
        <v>0</v>
      </c>
      <c r="W165" s="339">
        <f t="shared" si="12"/>
        <v>0</v>
      </c>
      <c r="X165" s="339">
        <f t="shared" si="13"/>
        <v>0</v>
      </c>
      <c r="Y165" s="339">
        <f t="shared" si="14"/>
        <v>0</v>
      </c>
      <c r="Z165" s="162"/>
      <c r="AA165" s="162"/>
      <c r="AB165" s="162"/>
      <c r="AC165" s="162"/>
      <c r="AD165" s="162"/>
    </row>
    <row r="166" spans="1:30">
      <c r="A166" s="838" t="s">
        <v>1470</v>
      </c>
      <c r="B166" s="169" t="s">
        <v>116</v>
      </c>
      <c r="C166" s="169" t="s">
        <v>121</v>
      </c>
      <c r="D166" s="143">
        <f t="shared" si="17"/>
        <v>675</v>
      </c>
      <c r="E166" s="176">
        <v>1000</v>
      </c>
      <c r="F166" s="1107">
        <v>0.5</v>
      </c>
      <c r="G166" s="176">
        <v>0.25</v>
      </c>
      <c r="H166" s="172">
        <f t="shared" si="5"/>
        <v>6792.1875</v>
      </c>
      <c r="I166" s="162"/>
      <c r="J166" s="162"/>
      <c r="K166" s="162"/>
      <c r="L166" s="162"/>
      <c r="M166" s="162"/>
      <c r="N166" s="162"/>
      <c r="O166" s="162"/>
      <c r="P166" s="162"/>
      <c r="Q166" s="339">
        <f t="shared" si="6"/>
        <v>6792.1875</v>
      </c>
      <c r="R166" s="339">
        <f t="shared" si="7"/>
        <v>0</v>
      </c>
      <c r="S166" s="339">
        <f t="shared" si="8"/>
        <v>0</v>
      </c>
      <c r="T166" s="339">
        <f t="shared" si="9"/>
        <v>0</v>
      </c>
      <c r="U166" s="339">
        <f t="shared" si="10"/>
        <v>0</v>
      </c>
      <c r="V166" s="339">
        <f t="shared" si="11"/>
        <v>0</v>
      </c>
      <c r="W166" s="339">
        <f t="shared" si="12"/>
        <v>0</v>
      </c>
      <c r="X166" s="339">
        <f t="shared" si="13"/>
        <v>0</v>
      </c>
      <c r="Y166" s="339">
        <f t="shared" si="14"/>
        <v>0</v>
      </c>
      <c r="Z166" s="162"/>
      <c r="AA166" s="162"/>
      <c r="AB166" s="162"/>
      <c r="AC166" s="162"/>
      <c r="AD166" s="162"/>
    </row>
    <row r="167" spans="1:30">
      <c r="A167" s="838" t="s">
        <v>1449</v>
      </c>
      <c r="B167" s="169" t="s">
        <v>87</v>
      </c>
      <c r="C167" s="169" t="s">
        <v>773</v>
      </c>
      <c r="D167" s="143">
        <f t="shared" si="17"/>
        <v>2088</v>
      </c>
      <c r="E167" s="176">
        <v>1000</v>
      </c>
      <c r="F167" s="1107">
        <v>0.5</v>
      </c>
      <c r="G167" s="176">
        <v>0.25</v>
      </c>
      <c r="H167" s="172">
        <f t="shared" ref="H167:H230" si="18">IF($D167="","",SUM($Q167:$Y167))</f>
        <v>21067.919999999998</v>
      </c>
      <c r="I167" s="162"/>
      <c r="J167" s="162"/>
      <c r="K167" s="162"/>
      <c r="L167" s="162"/>
      <c r="M167" s="162"/>
      <c r="N167" s="162"/>
      <c r="O167" s="162"/>
      <c r="P167" s="162"/>
      <c r="Q167" s="339">
        <f t="shared" si="6"/>
        <v>0</v>
      </c>
      <c r="R167" s="339">
        <f t="shared" si="7"/>
        <v>0</v>
      </c>
      <c r="S167" s="339">
        <f t="shared" si="8"/>
        <v>0</v>
      </c>
      <c r="T167" s="339">
        <f t="shared" si="9"/>
        <v>0</v>
      </c>
      <c r="U167" s="339">
        <f t="shared" si="10"/>
        <v>0</v>
      </c>
      <c r="V167" s="339">
        <f t="shared" si="11"/>
        <v>0</v>
      </c>
      <c r="W167" s="339">
        <f t="shared" si="12"/>
        <v>21067.919999999998</v>
      </c>
      <c r="X167" s="339">
        <f t="shared" si="13"/>
        <v>0</v>
      </c>
      <c r="Y167" s="339">
        <f t="shared" si="14"/>
        <v>0</v>
      </c>
      <c r="Z167" s="162"/>
      <c r="AA167" s="162"/>
      <c r="AB167" s="162"/>
      <c r="AC167" s="162"/>
      <c r="AD167" s="162"/>
    </row>
    <row r="168" spans="1:30">
      <c r="A168" s="838" t="s">
        <v>1471</v>
      </c>
      <c r="B168" s="169" t="s">
        <v>87</v>
      </c>
      <c r="C168" s="169" t="s">
        <v>773</v>
      </c>
      <c r="D168" s="143">
        <f t="shared" si="17"/>
        <v>2088</v>
      </c>
      <c r="E168" s="176">
        <v>1000</v>
      </c>
      <c r="F168" s="1107">
        <v>0.5</v>
      </c>
      <c r="G168" s="176">
        <v>0.25</v>
      </c>
      <c r="H168" s="172">
        <f t="shared" si="18"/>
        <v>21067.919999999998</v>
      </c>
      <c r="I168" s="162"/>
      <c r="J168" s="162"/>
      <c r="K168" s="162"/>
      <c r="L168" s="162"/>
      <c r="M168" s="162"/>
      <c r="N168" s="162"/>
      <c r="O168" s="162"/>
      <c r="P168" s="162"/>
      <c r="Q168" s="339">
        <f t="shared" si="6"/>
        <v>0</v>
      </c>
      <c r="R168" s="339">
        <f t="shared" si="7"/>
        <v>0</v>
      </c>
      <c r="S168" s="339">
        <f t="shared" si="8"/>
        <v>0</v>
      </c>
      <c r="T168" s="339">
        <f t="shared" si="9"/>
        <v>0</v>
      </c>
      <c r="U168" s="339">
        <f t="shared" si="10"/>
        <v>0</v>
      </c>
      <c r="V168" s="339">
        <f t="shared" si="11"/>
        <v>0</v>
      </c>
      <c r="W168" s="339">
        <f t="shared" si="12"/>
        <v>21067.919999999998</v>
      </c>
      <c r="X168" s="339">
        <f t="shared" si="13"/>
        <v>0</v>
      </c>
      <c r="Y168" s="339">
        <f t="shared" si="14"/>
        <v>0</v>
      </c>
      <c r="Z168" s="162"/>
      <c r="AA168" s="162"/>
      <c r="AB168" s="162"/>
      <c r="AC168" s="162"/>
      <c r="AD168" s="162"/>
    </row>
    <row r="169" spans="1:30">
      <c r="A169" s="838" t="s">
        <v>1472</v>
      </c>
      <c r="B169" s="169" t="s">
        <v>87</v>
      </c>
      <c r="C169" s="169" t="s">
        <v>773</v>
      </c>
      <c r="D169" s="143">
        <f t="shared" si="17"/>
        <v>2088</v>
      </c>
      <c r="E169" s="176">
        <v>1000</v>
      </c>
      <c r="F169" s="1107">
        <v>0.5</v>
      </c>
      <c r="G169" s="176">
        <v>0.25</v>
      </c>
      <c r="H169" s="172">
        <f t="shared" si="18"/>
        <v>21067.919999999998</v>
      </c>
      <c r="I169" s="162"/>
      <c r="J169" s="162"/>
      <c r="K169" s="162"/>
      <c r="L169" s="162"/>
      <c r="M169" s="162"/>
      <c r="N169" s="162"/>
      <c r="O169" s="162"/>
      <c r="P169" s="162"/>
      <c r="Q169" s="339">
        <f t="shared" si="6"/>
        <v>0</v>
      </c>
      <c r="R169" s="339">
        <f t="shared" si="7"/>
        <v>0</v>
      </c>
      <c r="S169" s="339">
        <f t="shared" si="8"/>
        <v>0</v>
      </c>
      <c r="T169" s="339">
        <f t="shared" si="9"/>
        <v>0</v>
      </c>
      <c r="U169" s="339">
        <f t="shared" si="10"/>
        <v>0</v>
      </c>
      <c r="V169" s="339">
        <f t="shared" si="11"/>
        <v>0</v>
      </c>
      <c r="W169" s="339">
        <f t="shared" si="12"/>
        <v>21067.919999999998</v>
      </c>
      <c r="X169" s="339">
        <f t="shared" si="13"/>
        <v>0</v>
      </c>
      <c r="Y169" s="339">
        <f t="shared" si="14"/>
        <v>0</v>
      </c>
      <c r="Z169" s="162"/>
      <c r="AA169" s="162"/>
      <c r="AB169" s="162"/>
      <c r="AC169" s="162"/>
      <c r="AD169" s="162"/>
    </row>
    <row r="170" spans="1:30">
      <c r="A170" s="838" t="s">
        <v>1473</v>
      </c>
      <c r="B170" s="169" t="s">
        <v>87</v>
      </c>
      <c r="C170" s="169" t="s">
        <v>773</v>
      </c>
      <c r="D170" s="143">
        <f t="shared" si="17"/>
        <v>2088</v>
      </c>
      <c r="E170" s="176">
        <v>1000</v>
      </c>
      <c r="F170" s="1107">
        <v>0.5</v>
      </c>
      <c r="G170" s="176">
        <v>0.25</v>
      </c>
      <c r="H170" s="172">
        <f t="shared" si="18"/>
        <v>21067.919999999998</v>
      </c>
      <c r="I170" s="162"/>
      <c r="J170" s="162"/>
      <c r="K170" s="162"/>
      <c r="L170" s="162"/>
      <c r="M170" s="162"/>
      <c r="N170" s="162"/>
      <c r="O170" s="162"/>
      <c r="P170" s="162"/>
      <c r="Q170" s="339">
        <f t="shared" si="6"/>
        <v>0</v>
      </c>
      <c r="R170" s="339">
        <f t="shared" si="7"/>
        <v>0</v>
      </c>
      <c r="S170" s="339">
        <f t="shared" si="8"/>
        <v>0</v>
      </c>
      <c r="T170" s="339">
        <f t="shared" si="9"/>
        <v>0</v>
      </c>
      <c r="U170" s="339">
        <f t="shared" si="10"/>
        <v>0</v>
      </c>
      <c r="V170" s="339">
        <f t="shared" si="11"/>
        <v>0</v>
      </c>
      <c r="W170" s="339">
        <f t="shared" si="12"/>
        <v>21067.919999999998</v>
      </c>
      <c r="X170" s="339">
        <f t="shared" si="13"/>
        <v>0</v>
      </c>
      <c r="Y170" s="339">
        <f t="shared" si="14"/>
        <v>0</v>
      </c>
      <c r="Z170" s="162"/>
      <c r="AA170" s="162"/>
      <c r="AB170" s="162"/>
      <c r="AC170" s="162"/>
      <c r="AD170" s="162"/>
    </row>
    <row r="171" spans="1:30">
      <c r="A171" s="838" t="s">
        <v>1474</v>
      </c>
      <c r="B171" s="169" t="s">
        <v>87</v>
      </c>
      <c r="C171" s="169" t="s">
        <v>773</v>
      </c>
      <c r="D171" s="143">
        <f t="shared" si="17"/>
        <v>2088</v>
      </c>
      <c r="E171" s="176">
        <v>1000</v>
      </c>
      <c r="F171" s="1107">
        <v>0.5</v>
      </c>
      <c r="G171" s="176">
        <v>0.25</v>
      </c>
      <c r="H171" s="172">
        <f t="shared" si="18"/>
        <v>21067.919999999998</v>
      </c>
      <c r="I171" s="162"/>
      <c r="J171" s="162"/>
      <c r="K171" s="162"/>
      <c r="L171" s="162"/>
      <c r="M171" s="162"/>
      <c r="N171" s="162"/>
      <c r="O171" s="162"/>
      <c r="P171" s="162"/>
      <c r="Q171" s="339">
        <f t="shared" si="6"/>
        <v>0</v>
      </c>
      <c r="R171" s="339">
        <f t="shared" si="7"/>
        <v>0</v>
      </c>
      <c r="S171" s="339">
        <f t="shared" si="8"/>
        <v>0</v>
      </c>
      <c r="T171" s="339">
        <f t="shared" si="9"/>
        <v>0</v>
      </c>
      <c r="U171" s="339">
        <f t="shared" si="10"/>
        <v>0</v>
      </c>
      <c r="V171" s="339">
        <f t="shared" si="11"/>
        <v>0</v>
      </c>
      <c r="W171" s="339">
        <f t="shared" si="12"/>
        <v>21067.919999999998</v>
      </c>
      <c r="X171" s="339">
        <f t="shared" si="13"/>
        <v>0</v>
      </c>
      <c r="Y171" s="339">
        <f t="shared" si="14"/>
        <v>0</v>
      </c>
      <c r="Z171" s="162"/>
      <c r="AA171" s="162"/>
      <c r="AB171" s="162"/>
      <c r="AC171" s="162"/>
      <c r="AD171" s="162"/>
    </row>
    <row r="172" spans="1:30">
      <c r="A172" s="838" t="s">
        <v>1475</v>
      </c>
      <c r="B172" s="169" t="s">
        <v>87</v>
      </c>
      <c r="C172" s="169" t="s">
        <v>773</v>
      </c>
      <c r="D172" s="143">
        <f t="shared" si="17"/>
        <v>2088</v>
      </c>
      <c r="E172" s="176">
        <v>1000</v>
      </c>
      <c r="F172" s="1107">
        <v>0.5</v>
      </c>
      <c r="G172" s="176">
        <v>0.25</v>
      </c>
      <c r="H172" s="172">
        <f t="shared" si="18"/>
        <v>21067.919999999998</v>
      </c>
      <c r="I172" s="162"/>
      <c r="J172" s="162"/>
      <c r="K172" s="162"/>
      <c r="L172" s="162"/>
      <c r="M172" s="162"/>
      <c r="N172" s="162"/>
      <c r="O172" s="162"/>
      <c r="P172" s="162"/>
      <c r="Q172" s="339">
        <f t="shared" si="6"/>
        <v>0</v>
      </c>
      <c r="R172" s="339">
        <f t="shared" si="7"/>
        <v>0</v>
      </c>
      <c r="S172" s="339">
        <f t="shared" si="8"/>
        <v>0</v>
      </c>
      <c r="T172" s="339">
        <f t="shared" si="9"/>
        <v>0</v>
      </c>
      <c r="U172" s="339">
        <f t="shared" si="10"/>
        <v>0</v>
      </c>
      <c r="V172" s="339">
        <f t="shared" si="11"/>
        <v>0</v>
      </c>
      <c r="W172" s="339">
        <f t="shared" si="12"/>
        <v>21067.919999999998</v>
      </c>
      <c r="X172" s="339">
        <f t="shared" si="13"/>
        <v>0</v>
      </c>
      <c r="Y172" s="339">
        <f t="shared" si="14"/>
        <v>0</v>
      </c>
      <c r="Z172" s="162"/>
      <c r="AA172" s="162"/>
      <c r="AB172" s="162"/>
      <c r="AC172" s="162"/>
      <c r="AD172" s="162"/>
    </row>
    <row r="173" spans="1:30">
      <c r="A173" s="838" t="s">
        <v>1476</v>
      </c>
      <c r="B173" s="169" t="s">
        <v>87</v>
      </c>
      <c r="C173" s="169" t="s">
        <v>773</v>
      </c>
      <c r="D173" s="143">
        <f t="shared" si="17"/>
        <v>2088</v>
      </c>
      <c r="E173" s="176">
        <v>1000</v>
      </c>
      <c r="F173" s="1107">
        <v>0.5</v>
      </c>
      <c r="G173" s="176">
        <v>0.25</v>
      </c>
      <c r="H173" s="172">
        <f t="shared" si="18"/>
        <v>21067.919999999998</v>
      </c>
      <c r="I173" s="162"/>
      <c r="J173" s="162"/>
      <c r="K173" s="162"/>
      <c r="L173" s="162"/>
      <c r="M173" s="162"/>
      <c r="N173" s="162"/>
      <c r="O173" s="162"/>
      <c r="P173" s="162"/>
      <c r="Q173" s="339">
        <f t="shared" si="6"/>
        <v>0</v>
      </c>
      <c r="R173" s="339">
        <f t="shared" si="7"/>
        <v>0</v>
      </c>
      <c r="S173" s="339">
        <f t="shared" si="8"/>
        <v>0</v>
      </c>
      <c r="T173" s="339">
        <f t="shared" si="9"/>
        <v>0</v>
      </c>
      <c r="U173" s="339">
        <f t="shared" si="10"/>
        <v>0</v>
      </c>
      <c r="V173" s="339">
        <f t="shared" si="11"/>
        <v>0</v>
      </c>
      <c r="W173" s="339">
        <f t="shared" si="12"/>
        <v>21067.919999999998</v>
      </c>
      <c r="X173" s="339">
        <f t="shared" si="13"/>
        <v>0</v>
      </c>
      <c r="Y173" s="339">
        <f t="shared" si="14"/>
        <v>0</v>
      </c>
      <c r="Z173" s="162"/>
      <c r="AA173" s="162"/>
      <c r="AB173" s="162"/>
      <c r="AC173" s="162"/>
      <c r="AD173" s="162"/>
    </row>
    <row r="174" spans="1:30">
      <c r="A174" s="838" t="s">
        <v>1477</v>
      </c>
      <c r="B174" s="169" t="s">
        <v>87</v>
      </c>
      <c r="C174" s="169" t="s">
        <v>773</v>
      </c>
      <c r="D174" s="143">
        <f t="shared" si="17"/>
        <v>2088</v>
      </c>
      <c r="E174" s="176">
        <v>1000</v>
      </c>
      <c r="F174" s="1107">
        <v>0.5</v>
      </c>
      <c r="G174" s="176">
        <v>0.25</v>
      </c>
      <c r="H174" s="172">
        <f t="shared" si="18"/>
        <v>21067.919999999998</v>
      </c>
      <c r="I174" s="162"/>
      <c r="J174" s="162"/>
      <c r="K174" s="162"/>
      <c r="L174" s="162"/>
      <c r="M174" s="162"/>
      <c r="N174" s="162"/>
      <c r="O174" s="162"/>
      <c r="P174" s="162"/>
      <c r="Q174" s="339">
        <f t="shared" si="6"/>
        <v>0</v>
      </c>
      <c r="R174" s="339">
        <f t="shared" si="7"/>
        <v>0</v>
      </c>
      <c r="S174" s="339">
        <f t="shared" si="8"/>
        <v>0</v>
      </c>
      <c r="T174" s="339">
        <f t="shared" si="9"/>
        <v>0</v>
      </c>
      <c r="U174" s="339">
        <f t="shared" si="10"/>
        <v>0</v>
      </c>
      <c r="V174" s="339">
        <f t="shared" si="11"/>
        <v>0</v>
      </c>
      <c r="W174" s="339">
        <f t="shared" si="12"/>
        <v>21067.919999999998</v>
      </c>
      <c r="X174" s="339">
        <f t="shared" si="13"/>
        <v>0</v>
      </c>
      <c r="Y174" s="339">
        <f t="shared" si="14"/>
        <v>0</v>
      </c>
      <c r="Z174" s="162"/>
      <c r="AA174" s="162"/>
      <c r="AB174" s="162"/>
      <c r="AC174" s="162"/>
      <c r="AD174" s="162"/>
    </row>
    <row r="175" spans="1:30">
      <c r="A175" s="838" t="s">
        <v>1478</v>
      </c>
      <c r="B175" s="169" t="s">
        <v>87</v>
      </c>
      <c r="C175" s="169" t="s">
        <v>773</v>
      </c>
      <c r="D175" s="143">
        <f t="shared" si="17"/>
        <v>2088</v>
      </c>
      <c r="E175" s="176">
        <v>1000</v>
      </c>
      <c r="F175" s="1107">
        <v>0.5</v>
      </c>
      <c r="G175" s="176">
        <v>0.25</v>
      </c>
      <c r="H175" s="172">
        <f t="shared" si="18"/>
        <v>21067.919999999998</v>
      </c>
      <c r="I175" s="162"/>
      <c r="J175" s="162"/>
      <c r="K175" s="162"/>
      <c r="L175" s="162"/>
      <c r="M175" s="162"/>
      <c r="N175" s="162"/>
      <c r="O175" s="162"/>
      <c r="P175" s="162"/>
      <c r="Q175" s="339">
        <f t="shared" si="6"/>
        <v>0</v>
      </c>
      <c r="R175" s="339">
        <f t="shared" si="7"/>
        <v>0</v>
      </c>
      <c r="S175" s="339">
        <f t="shared" si="8"/>
        <v>0</v>
      </c>
      <c r="T175" s="339">
        <f t="shared" si="9"/>
        <v>0</v>
      </c>
      <c r="U175" s="339">
        <f t="shared" si="10"/>
        <v>0</v>
      </c>
      <c r="V175" s="339">
        <f t="shared" si="11"/>
        <v>0</v>
      </c>
      <c r="W175" s="339">
        <f t="shared" si="12"/>
        <v>21067.919999999998</v>
      </c>
      <c r="X175" s="339">
        <f t="shared" si="13"/>
        <v>0</v>
      </c>
      <c r="Y175" s="339">
        <f t="shared" si="14"/>
        <v>0</v>
      </c>
      <c r="Z175" s="162"/>
      <c r="AA175" s="162"/>
      <c r="AB175" s="162"/>
      <c r="AC175" s="162"/>
      <c r="AD175" s="162"/>
    </row>
    <row r="176" spans="1:30">
      <c r="A176" s="838" t="s">
        <v>1479</v>
      </c>
      <c r="B176" s="169" t="s">
        <v>87</v>
      </c>
      <c r="C176" s="169" t="s">
        <v>773</v>
      </c>
      <c r="D176" s="143">
        <f t="shared" si="17"/>
        <v>2088</v>
      </c>
      <c r="E176" s="176">
        <v>1000</v>
      </c>
      <c r="F176" s="1107">
        <v>0.5</v>
      </c>
      <c r="G176" s="176">
        <v>0.25</v>
      </c>
      <c r="H176" s="172">
        <f t="shared" si="18"/>
        <v>21067.919999999998</v>
      </c>
      <c r="I176" s="162"/>
      <c r="J176" s="162"/>
      <c r="K176" s="162"/>
      <c r="L176" s="162"/>
      <c r="M176" s="162"/>
      <c r="N176" s="162"/>
      <c r="O176" s="162"/>
      <c r="P176" s="162"/>
      <c r="Q176" s="339">
        <f t="shared" si="6"/>
        <v>0</v>
      </c>
      <c r="R176" s="339">
        <f t="shared" si="7"/>
        <v>0</v>
      </c>
      <c r="S176" s="339">
        <f t="shared" si="8"/>
        <v>0</v>
      </c>
      <c r="T176" s="339">
        <f t="shared" si="9"/>
        <v>0</v>
      </c>
      <c r="U176" s="339">
        <f t="shared" si="10"/>
        <v>0</v>
      </c>
      <c r="V176" s="339">
        <f t="shared" si="11"/>
        <v>0</v>
      </c>
      <c r="W176" s="339">
        <f t="shared" si="12"/>
        <v>21067.919999999998</v>
      </c>
      <c r="X176" s="339">
        <f t="shared" si="13"/>
        <v>0</v>
      </c>
      <c r="Y176" s="339">
        <f t="shared" si="14"/>
        <v>0</v>
      </c>
      <c r="Z176" s="162"/>
      <c r="AA176" s="162"/>
      <c r="AB176" s="162"/>
      <c r="AC176" s="162"/>
      <c r="AD176" s="162"/>
    </row>
    <row r="177" spans="1:30">
      <c r="A177" s="838" t="s">
        <v>1480</v>
      </c>
      <c r="B177" s="169" t="s">
        <v>87</v>
      </c>
      <c r="C177" s="169" t="s">
        <v>773</v>
      </c>
      <c r="D177" s="143">
        <f t="shared" si="17"/>
        <v>2088</v>
      </c>
      <c r="E177" s="176">
        <v>1000</v>
      </c>
      <c r="F177" s="1107">
        <v>0.5</v>
      </c>
      <c r="G177" s="176">
        <v>0.25</v>
      </c>
      <c r="H177" s="172">
        <f t="shared" si="18"/>
        <v>21067.919999999998</v>
      </c>
      <c r="I177" s="162"/>
      <c r="J177" s="162"/>
      <c r="K177" s="162"/>
      <c r="L177" s="162"/>
      <c r="M177" s="162"/>
      <c r="N177" s="162"/>
      <c r="O177" s="162"/>
      <c r="P177" s="162"/>
      <c r="Q177" s="339">
        <f t="shared" si="6"/>
        <v>0</v>
      </c>
      <c r="R177" s="339">
        <f t="shared" si="7"/>
        <v>0</v>
      </c>
      <c r="S177" s="339">
        <f t="shared" si="8"/>
        <v>0</v>
      </c>
      <c r="T177" s="339">
        <f t="shared" si="9"/>
        <v>0</v>
      </c>
      <c r="U177" s="339">
        <f t="shared" si="10"/>
        <v>0</v>
      </c>
      <c r="V177" s="339">
        <f t="shared" si="11"/>
        <v>0</v>
      </c>
      <c r="W177" s="339">
        <f t="shared" si="12"/>
        <v>21067.919999999998</v>
      </c>
      <c r="X177" s="339">
        <f t="shared" si="13"/>
        <v>0</v>
      </c>
      <c r="Y177" s="339">
        <f t="shared" si="14"/>
        <v>0</v>
      </c>
      <c r="Z177" s="162"/>
      <c r="AA177" s="162"/>
      <c r="AB177" s="162"/>
      <c r="AC177" s="162"/>
      <c r="AD177" s="162"/>
    </row>
    <row r="178" spans="1:30">
      <c r="A178" s="838" t="s">
        <v>1481</v>
      </c>
      <c r="B178" s="169" t="s">
        <v>87</v>
      </c>
      <c r="C178" s="169" t="s">
        <v>773</v>
      </c>
      <c r="D178" s="143">
        <f t="shared" si="17"/>
        <v>2088</v>
      </c>
      <c r="E178" s="176">
        <v>1000</v>
      </c>
      <c r="F178" s="1107">
        <v>0.5</v>
      </c>
      <c r="G178" s="176">
        <v>0.25</v>
      </c>
      <c r="H178" s="172">
        <f t="shared" si="18"/>
        <v>21067.919999999998</v>
      </c>
      <c r="I178" s="162"/>
      <c r="J178" s="162"/>
      <c r="K178" s="162"/>
      <c r="L178" s="162"/>
      <c r="M178" s="162"/>
      <c r="N178" s="162"/>
      <c r="O178" s="162"/>
      <c r="P178" s="162"/>
      <c r="Q178" s="339">
        <f t="shared" si="6"/>
        <v>0</v>
      </c>
      <c r="R178" s="339">
        <f t="shared" si="7"/>
        <v>0</v>
      </c>
      <c r="S178" s="339">
        <f t="shared" si="8"/>
        <v>0</v>
      </c>
      <c r="T178" s="339">
        <f t="shared" si="9"/>
        <v>0</v>
      </c>
      <c r="U178" s="339">
        <f t="shared" si="10"/>
        <v>0</v>
      </c>
      <c r="V178" s="339">
        <f t="shared" si="11"/>
        <v>0</v>
      </c>
      <c r="W178" s="339">
        <f t="shared" si="12"/>
        <v>21067.919999999998</v>
      </c>
      <c r="X178" s="339">
        <f t="shared" si="13"/>
        <v>0</v>
      </c>
      <c r="Y178" s="339">
        <f t="shared" si="14"/>
        <v>0</v>
      </c>
      <c r="Z178" s="162"/>
      <c r="AA178" s="162"/>
      <c r="AB178" s="162"/>
      <c r="AC178" s="162"/>
      <c r="AD178" s="162"/>
    </row>
    <row r="179" spans="1:30">
      <c r="A179" s="838" t="s">
        <v>1482</v>
      </c>
      <c r="B179" s="169" t="s">
        <v>87</v>
      </c>
      <c r="C179" s="169" t="s">
        <v>773</v>
      </c>
      <c r="D179" s="143">
        <f t="shared" si="17"/>
        <v>2088</v>
      </c>
      <c r="E179" s="176">
        <v>1000</v>
      </c>
      <c r="F179" s="1107">
        <v>0.5</v>
      </c>
      <c r="G179" s="176">
        <v>0.25</v>
      </c>
      <c r="H179" s="172">
        <f t="shared" si="18"/>
        <v>21067.919999999998</v>
      </c>
      <c r="I179" s="162"/>
      <c r="J179" s="162"/>
      <c r="K179" s="162"/>
      <c r="L179" s="162"/>
      <c r="M179" s="162"/>
      <c r="N179" s="162"/>
      <c r="O179" s="162"/>
      <c r="P179" s="162"/>
      <c r="Q179" s="339">
        <f t="shared" si="6"/>
        <v>0</v>
      </c>
      <c r="R179" s="339">
        <f t="shared" si="7"/>
        <v>0</v>
      </c>
      <c r="S179" s="339">
        <f t="shared" si="8"/>
        <v>0</v>
      </c>
      <c r="T179" s="339">
        <f t="shared" si="9"/>
        <v>0</v>
      </c>
      <c r="U179" s="339">
        <f t="shared" si="10"/>
        <v>0</v>
      </c>
      <c r="V179" s="339">
        <f t="shared" si="11"/>
        <v>0</v>
      </c>
      <c r="W179" s="339">
        <f t="shared" si="12"/>
        <v>21067.919999999998</v>
      </c>
      <c r="X179" s="339">
        <f t="shared" si="13"/>
        <v>0</v>
      </c>
      <c r="Y179" s="339">
        <f t="shared" si="14"/>
        <v>0</v>
      </c>
      <c r="Z179" s="162"/>
      <c r="AA179" s="162"/>
      <c r="AB179" s="162"/>
      <c r="AC179" s="162"/>
      <c r="AD179" s="162"/>
    </row>
    <row r="180" spans="1:30">
      <c r="A180" s="838" t="s">
        <v>1483</v>
      </c>
      <c r="B180" s="169" t="s">
        <v>87</v>
      </c>
      <c r="C180" s="169" t="s">
        <v>773</v>
      </c>
      <c r="D180" s="143">
        <f t="shared" si="17"/>
        <v>2088</v>
      </c>
      <c r="E180" s="176">
        <v>1000</v>
      </c>
      <c r="F180" s="1107">
        <v>0.5</v>
      </c>
      <c r="G180" s="176">
        <v>0.25</v>
      </c>
      <c r="H180" s="172">
        <f t="shared" si="18"/>
        <v>21067.919999999998</v>
      </c>
      <c r="I180" s="162"/>
      <c r="J180" s="162"/>
      <c r="K180" s="162"/>
      <c r="L180" s="162"/>
      <c r="M180" s="162"/>
      <c r="N180" s="162"/>
      <c r="O180" s="162"/>
      <c r="P180" s="162"/>
      <c r="Q180" s="339">
        <f t="shared" si="6"/>
        <v>0</v>
      </c>
      <c r="R180" s="339">
        <f t="shared" si="7"/>
        <v>0</v>
      </c>
      <c r="S180" s="339">
        <f t="shared" si="8"/>
        <v>0</v>
      </c>
      <c r="T180" s="339">
        <f t="shared" si="9"/>
        <v>0</v>
      </c>
      <c r="U180" s="339">
        <f t="shared" si="10"/>
        <v>0</v>
      </c>
      <c r="V180" s="339">
        <f t="shared" si="11"/>
        <v>0</v>
      </c>
      <c r="W180" s="339">
        <f t="shared" si="12"/>
        <v>21067.919999999998</v>
      </c>
      <c r="X180" s="339">
        <f t="shared" si="13"/>
        <v>0</v>
      </c>
      <c r="Y180" s="339">
        <f t="shared" si="14"/>
        <v>0</v>
      </c>
      <c r="Z180" s="162"/>
      <c r="AA180" s="162"/>
      <c r="AB180" s="162"/>
      <c r="AC180" s="162"/>
      <c r="AD180" s="162"/>
    </row>
    <row r="181" spans="1:30">
      <c r="A181" s="838" t="s">
        <v>1484</v>
      </c>
      <c r="B181" s="169" t="s">
        <v>87</v>
      </c>
      <c r="C181" s="169" t="s">
        <v>773</v>
      </c>
      <c r="D181" s="143">
        <f t="shared" si="17"/>
        <v>2088</v>
      </c>
      <c r="E181" s="176">
        <v>1000</v>
      </c>
      <c r="F181" s="1107">
        <v>0.5</v>
      </c>
      <c r="G181" s="176">
        <v>0.25</v>
      </c>
      <c r="H181" s="172">
        <f t="shared" si="18"/>
        <v>21067.919999999998</v>
      </c>
      <c r="I181" s="162"/>
      <c r="J181" s="162"/>
      <c r="K181" s="162"/>
      <c r="L181" s="162"/>
      <c r="M181" s="162"/>
      <c r="N181" s="162"/>
      <c r="O181" s="162"/>
      <c r="P181" s="162"/>
      <c r="Q181" s="339">
        <f t="shared" si="6"/>
        <v>0</v>
      </c>
      <c r="R181" s="339">
        <f t="shared" si="7"/>
        <v>0</v>
      </c>
      <c r="S181" s="339">
        <f t="shared" si="8"/>
        <v>0</v>
      </c>
      <c r="T181" s="339">
        <f t="shared" si="9"/>
        <v>0</v>
      </c>
      <c r="U181" s="339">
        <f t="shared" si="10"/>
        <v>0</v>
      </c>
      <c r="V181" s="339">
        <f t="shared" si="11"/>
        <v>0</v>
      </c>
      <c r="W181" s="339">
        <f t="shared" si="12"/>
        <v>21067.919999999998</v>
      </c>
      <c r="X181" s="339">
        <f t="shared" si="13"/>
        <v>0</v>
      </c>
      <c r="Y181" s="339">
        <f t="shared" si="14"/>
        <v>0</v>
      </c>
      <c r="Z181" s="162"/>
      <c r="AA181" s="162"/>
      <c r="AB181" s="162"/>
      <c r="AC181" s="162"/>
      <c r="AD181" s="162"/>
    </row>
    <row r="182" spans="1:30">
      <c r="A182" s="838" t="s">
        <v>1485</v>
      </c>
      <c r="B182" s="169" t="s">
        <v>87</v>
      </c>
      <c r="C182" s="169" t="s">
        <v>773</v>
      </c>
      <c r="D182" s="143">
        <f t="shared" si="17"/>
        <v>2088</v>
      </c>
      <c r="E182" s="176">
        <v>1000</v>
      </c>
      <c r="F182" s="1107">
        <v>0.5</v>
      </c>
      <c r="G182" s="176">
        <v>0.25</v>
      </c>
      <c r="H182" s="172">
        <f t="shared" si="18"/>
        <v>21067.919999999998</v>
      </c>
      <c r="I182" s="162"/>
      <c r="J182" s="162"/>
      <c r="K182" s="162"/>
      <c r="L182" s="162"/>
      <c r="M182" s="162"/>
      <c r="N182" s="162"/>
      <c r="O182" s="162"/>
      <c r="P182" s="162"/>
      <c r="Q182" s="339">
        <f t="shared" si="6"/>
        <v>0</v>
      </c>
      <c r="R182" s="339">
        <f t="shared" si="7"/>
        <v>0</v>
      </c>
      <c r="S182" s="339">
        <f t="shared" si="8"/>
        <v>0</v>
      </c>
      <c r="T182" s="339">
        <f t="shared" si="9"/>
        <v>0</v>
      </c>
      <c r="U182" s="339">
        <f t="shared" si="10"/>
        <v>0</v>
      </c>
      <c r="V182" s="339">
        <f t="shared" si="11"/>
        <v>0</v>
      </c>
      <c r="W182" s="339">
        <f t="shared" si="12"/>
        <v>21067.919999999998</v>
      </c>
      <c r="X182" s="339">
        <f t="shared" si="13"/>
        <v>0</v>
      </c>
      <c r="Y182" s="339">
        <f t="shared" si="14"/>
        <v>0</v>
      </c>
      <c r="Z182" s="162"/>
      <c r="AA182" s="162"/>
      <c r="AB182" s="162"/>
      <c r="AC182" s="162"/>
      <c r="AD182" s="162"/>
    </row>
    <row r="183" spans="1:30">
      <c r="A183" s="838" t="s">
        <v>1486</v>
      </c>
      <c r="B183" s="169" t="s">
        <v>87</v>
      </c>
      <c r="C183" s="169" t="s">
        <v>773</v>
      </c>
      <c r="D183" s="143">
        <f t="shared" si="17"/>
        <v>2088</v>
      </c>
      <c r="E183" s="176">
        <v>1000</v>
      </c>
      <c r="F183" s="1107">
        <v>0.5</v>
      </c>
      <c r="G183" s="176">
        <v>0.25</v>
      </c>
      <c r="H183" s="172">
        <f t="shared" si="18"/>
        <v>21067.919999999998</v>
      </c>
      <c r="I183" s="162"/>
      <c r="J183" s="162"/>
      <c r="K183" s="162"/>
      <c r="L183" s="162"/>
      <c r="M183" s="162"/>
      <c r="N183" s="162"/>
      <c r="O183" s="162"/>
      <c r="P183" s="162"/>
      <c r="Q183" s="339">
        <f t="shared" si="6"/>
        <v>0</v>
      </c>
      <c r="R183" s="339">
        <f t="shared" si="7"/>
        <v>0</v>
      </c>
      <c r="S183" s="339">
        <f t="shared" si="8"/>
        <v>0</v>
      </c>
      <c r="T183" s="339">
        <f t="shared" si="9"/>
        <v>0</v>
      </c>
      <c r="U183" s="339">
        <f t="shared" si="10"/>
        <v>0</v>
      </c>
      <c r="V183" s="339">
        <f t="shared" si="11"/>
        <v>0</v>
      </c>
      <c r="W183" s="339">
        <f t="shared" si="12"/>
        <v>21067.919999999998</v>
      </c>
      <c r="X183" s="339">
        <f t="shared" si="13"/>
        <v>0</v>
      </c>
      <c r="Y183" s="339">
        <f t="shared" si="14"/>
        <v>0</v>
      </c>
      <c r="Z183" s="162"/>
      <c r="AA183" s="162"/>
      <c r="AB183" s="162"/>
      <c r="AC183" s="162"/>
      <c r="AD183" s="162"/>
    </row>
    <row r="184" spans="1:30">
      <c r="A184" s="838" t="s">
        <v>1487</v>
      </c>
      <c r="B184" s="169" t="s">
        <v>87</v>
      </c>
      <c r="C184" s="169" t="s">
        <v>773</v>
      </c>
      <c r="D184" s="143">
        <f t="shared" si="17"/>
        <v>2088</v>
      </c>
      <c r="E184" s="176">
        <v>1000</v>
      </c>
      <c r="F184" s="1107">
        <v>0.5</v>
      </c>
      <c r="G184" s="176">
        <v>0.25</v>
      </c>
      <c r="H184" s="172">
        <f t="shared" si="18"/>
        <v>21067.919999999998</v>
      </c>
      <c r="I184" s="162"/>
      <c r="J184" s="162"/>
      <c r="K184" s="162"/>
      <c r="L184" s="162"/>
      <c r="M184" s="162"/>
      <c r="N184" s="162"/>
      <c r="O184" s="162"/>
      <c r="P184" s="162"/>
      <c r="Q184" s="339">
        <f t="shared" si="6"/>
        <v>0</v>
      </c>
      <c r="R184" s="339">
        <f t="shared" si="7"/>
        <v>0</v>
      </c>
      <c r="S184" s="339">
        <f t="shared" si="8"/>
        <v>0</v>
      </c>
      <c r="T184" s="339">
        <f t="shared" si="9"/>
        <v>0</v>
      </c>
      <c r="U184" s="339">
        <f t="shared" si="10"/>
        <v>0</v>
      </c>
      <c r="V184" s="339">
        <f t="shared" si="11"/>
        <v>0</v>
      </c>
      <c r="W184" s="339">
        <f t="shared" si="12"/>
        <v>21067.919999999998</v>
      </c>
      <c r="X184" s="339">
        <f t="shared" si="13"/>
        <v>0</v>
      </c>
      <c r="Y184" s="339">
        <f t="shared" si="14"/>
        <v>0</v>
      </c>
      <c r="Z184" s="162"/>
      <c r="AA184" s="162"/>
      <c r="AB184" s="162"/>
      <c r="AC184" s="162"/>
      <c r="AD184" s="162"/>
    </row>
    <row r="185" spans="1:30">
      <c r="A185" s="838" t="s">
        <v>1488</v>
      </c>
      <c r="B185" s="169" t="s">
        <v>87</v>
      </c>
      <c r="C185" s="169" t="s">
        <v>773</v>
      </c>
      <c r="D185" s="143">
        <f t="shared" si="17"/>
        <v>2088</v>
      </c>
      <c r="E185" s="176">
        <v>1000</v>
      </c>
      <c r="F185" s="1107">
        <v>0.5</v>
      </c>
      <c r="G185" s="176">
        <v>0.25</v>
      </c>
      <c r="H185" s="172">
        <f t="shared" si="18"/>
        <v>21067.919999999998</v>
      </c>
      <c r="I185" s="162"/>
      <c r="J185" s="162"/>
      <c r="K185" s="162"/>
      <c r="L185" s="162"/>
      <c r="M185" s="162"/>
      <c r="N185" s="162"/>
      <c r="O185" s="162"/>
      <c r="P185" s="162"/>
      <c r="Q185" s="339">
        <f t="shared" si="6"/>
        <v>0</v>
      </c>
      <c r="R185" s="339">
        <f t="shared" si="7"/>
        <v>0</v>
      </c>
      <c r="S185" s="339">
        <f t="shared" si="8"/>
        <v>0</v>
      </c>
      <c r="T185" s="339">
        <f t="shared" si="9"/>
        <v>0</v>
      </c>
      <c r="U185" s="339">
        <f t="shared" si="10"/>
        <v>0</v>
      </c>
      <c r="V185" s="339">
        <f t="shared" si="11"/>
        <v>0</v>
      </c>
      <c r="W185" s="339">
        <f t="shared" si="12"/>
        <v>21067.919999999998</v>
      </c>
      <c r="X185" s="339">
        <f t="shared" si="13"/>
        <v>0</v>
      </c>
      <c r="Y185" s="339">
        <f t="shared" si="14"/>
        <v>0</v>
      </c>
      <c r="Z185" s="162"/>
      <c r="AA185" s="162"/>
      <c r="AB185" s="162"/>
      <c r="AC185" s="162"/>
      <c r="AD185" s="162"/>
    </row>
    <row r="186" spans="1:30">
      <c r="A186" s="838" t="s">
        <v>1489</v>
      </c>
      <c r="B186" s="169" t="s">
        <v>87</v>
      </c>
      <c r="C186" s="169" t="s">
        <v>773</v>
      </c>
      <c r="D186" s="143">
        <f t="shared" si="17"/>
        <v>2088</v>
      </c>
      <c r="E186" s="176">
        <v>1000</v>
      </c>
      <c r="F186" s="1107">
        <v>0.5</v>
      </c>
      <c r="G186" s="176">
        <v>0.25</v>
      </c>
      <c r="H186" s="172">
        <f t="shared" si="18"/>
        <v>21067.919999999998</v>
      </c>
      <c r="I186" s="162"/>
      <c r="J186" s="162"/>
      <c r="K186" s="162"/>
      <c r="L186" s="162"/>
      <c r="M186" s="162"/>
      <c r="N186" s="162"/>
      <c r="O186" s="162"/>
      <c r="P186" s="162"/>
      <c r="Q186" s="339">
        <f t="shared" si="6"/>
        <v>0</v>
      </c>
      <c r="R186" s="339">
        <f t="shared" si="7"/>
        <v>0</v>
      </c>
      <c r="S186" s="339">
        <f t="shared" si="8"/>
        <v>0</v>
      </c>
      <c r="T186" s="339">
        <f t="shared" si="9"/>
        <v>0</v>
      </c>
      <c r="U186" s="339">
        <f t="shared" si="10"/>
        <v>0</v>
      </c>
      <c r="V186" s="339">
        <f t="shared" si="11"/>
        <v>0</v>
      </c>
      <c r="W186" s="339">
        <f t="shared" si="12"/>
        <v>21067.919999999998</v>
      </c>
      <c r="X186" s="339">
        <f t="shared" si="13"/>
        <v>0</v>
      </c>
      <c r="Y186" s="339">
        <f t="shared" si="14"/>
        <v>0</v>
      </c>
      <c r="Z186" s="162"/>
      <c r="AA186" s="162"/>
      <c r="AB186" s="162"/>
      <c r="AC186" s="162"/>
      <c r="AD186" s="162"/>
    </row>
    <row r="187" spans="1:30">
      <c r="A187" s="838" t="s">
        <v>1490</v>
      </c>
      <c r="B187" s="169" t="s">
        <v>87</v>
      </c>
      <c r="C187" s="169" t="s">
        <v>773</v>
      </c>
      <c r="D187" s="143">
        <f t="shared" si="17"/>
        <v>2088</v>
      </c>
      <c r="E187" s="176">
        <v>1000</v>
      </c>
      <c r="F187" s="1107">
        <v>0.5</v>
      </c>
      <c r="G187" s="176">
        <v>0.25</v>
      </c>
      <c r="H187" s="172">
        <f t="shared" si="18"/>
        <v>21067.919999999998</v>
      </c>
      <c r="I187" s="162"/>
      <c r="J187" s="162"/>
      <c r="K187" s="162"/>
      <c r="L187" s="162"/>
      <c r="M187" s="162"/>
      <c r="N187" s="162"/>
      <c r="O187" s="162"/>
      <c r="P187" s="162"/>
      <c r="Q187" s="339">
        <f t="shared" si="6"/>
        <v>0</v>
      </c>
      <c r="R187" s="339">
        <f t="shared" si="7"/>
        <v>0</v>
      </c>
      <c r="S187" s="339">
        <f t="shared" si="8"/>
        <v>0</v>
      </c>
      <c r="T187" s="339">
        <f t="shared" si="9"/>
        <v>0</v>
      </c>
      <c r="U187" s="339">
        <f t="shared" si="10"/>
        <v>0</v>
      </c>
      <c r="V187" s="339">
        <f t="shared" si="11"/>
        <v>0</v>
      </c>
      <c r="W187" s="339">
        <f t="shared" si="12"/>
        <v>21067.919999999998</v>
      </c>
      <c r="X187" s="339">
        <f t="shared" si="13"/>
        <v>0</v>
      </c>
      <c r="Y187" s="339">
        <f t="shared" si="14"/>
        <v>0</v>
      </c>
      <c r="Z187" s="162"/>
      <c r="AA187" s="162"/>
      <c r="AB187" s="162"/>
      <c r="AC187" s="162"/>
      <c r="AD187" s="162"/>
    </row>
    <row r="188" spans="1:30">
      <c r="A188" s="838" t="s">
        <v>1491</v>
      </c>
      <c r="B188" s="169" t="s">
        <v>87</v>
      </c>
      <c r="C188" s="169" t="s">
        <v>773</v>
      </c>
      <c r="D188" s="143">
        <f t="shared" si="17"/>
        <v>2088</v>
      </c>
      <c r="E188" s="176">
        <v>1000</v>
      </c>
      <c r="F188" s="1107">
        <v>0.5</v>
      </c>
      <c r="G188" s="176">
        <v>0.25</v>
      </c>
      <c r="H188" s="172">
        <f t="shared" si="18"/>
        <v>21067.919999999998</v>
      </c>
      <c r="I188" s="162"/>
      <c r="J188" s="162"/>
      <c r="K188" s="162"/>
      <c r="L188" s="162"/>
      <c r="M188" s="162"/>
      <c r="N188" s="162"/>
      <c r="O188" s="162"/>
      <c r="P188" s="162"/>
      <c r="Q188" s="339">
        <f t="shared" si="6"/>
        <v>0</v>
      </c>
      <c r="R188" s="339">
        <f t="shared" si="7"/>
        <v>0</v>
      </c>
      <c r="S188" s="339">
        <f t="shared" si="8"/>
        <v>0</v>
      </c>
      <c r="T188" s="339">
        <f t="shared" si="9"/>
        <v>0</v>
      </c>
      <c r="U188" s="339">
        <f t="shared" si="10"/>
        <v>0</v>
      </c>
      <c r="V188" s="339">
        <f t="shared" si="11"/>
        <v>0</v>
      </c>
      <c r="W188" s="339">
        <f t="shared" si="12"/>
        <v>21067.919999999998</v>
      </c>
      <c r="X188" s="339">
        <f t="shared" si="13"/>
        <v>0</v>
      </c>
      <c r="Y188" s="339">
        <f t="shared" si="14"/>
        <v>0</v>
      </c>
      <c r="Z188" s="162"/>
      <c r="AA188" s="162"/>
      <c r="AB188" s="162"/>
      <c r="AC188" s="162"/>
      <c r="AD188" s="162"/>
    </row>
    <row r="189" spans="1:30">
      <c r="A189" s="838" t="s">
        <v>1492</v>
      </c>
      <c r="B189" s="169" t="s">
        <v>87</v>
      </c>
      <c r="C189" s="169" t="s">
        <v>773</v>
      </c>
      <c r="D189" s="143">
        <f t="shared" si="17"/>
        <v>2088</v>
      </c>
      <c r="E189" s="176">
        <v>1000</v>
      </c>
      <c r="F189" s="1107">
        <v>0.5</v>
      </c>
      <c r="G189" s="176">
        <v>0.25</v>
      </c>
      <c r="H189" s="172">
        <f t="shared" si="18"/>
        <v>21067.919999999998</v>
      </c>
      <c r="I189" s="162"/>
      <c r="J189" s="162"/>
      <c r="K189" s="162"/>
      <c r="L189" s="162"/>
      <c r="M189" s="162"/>
      <c r="N189" s="162"/>
      <c r="O189" s="162"/>
      <c r="P189" s="162"/>
      <c r="Q189" s="339">
        <f t="shared" si="6"/>
        <v>0</v>
      </c>
      <c r="R189" s="339">
        <f t="shared" si="7"/>
        <v>0</v>
      </c>
      <c r="S189" s="339">
        <f t="shared" si="8"/>
        <v>0</v>
      </c>
      <c r="T189" s="339">
        <f t="shared" si="9"/>
        <v>0</v>
      </c>
      <c r="U189" s="339">
        <f t="shared" si="10"/>
        <v>0</v>
      </c>
      <c r="V189" s="339">
        <f t="shared" si="11"/>
        <v>0</v>
      </c>
      <c r="W189" s="339">
        <f t="shared" si="12"/>
        <v>21067.919999999998</v>
      </c>
      <c r="X189" s="339">
        <f t="shared" si="13"/>
        <v>0</v>
      </c>
      <c r="Y189" s="339">
        <f t="shared" si="14"/>
        <v>0</v>
      </c>
      <c r="Z189" s="162"/>
      <c r="AA189" s="162"/>
      <c r="AB189" s="162"/>
      <c r="AC189" s="162"/>
      <c r="AD189" s="162"/>
    </row>
    <row r="190" spans="1:30">
      <c r="A190" s="838" t="s">
        <v>1493</v>
      </c>
      <c r="B190" s="169" t="s">
        <v>87</v>
      </c>
      <c r="C190" s="169" t="s">
        <v>773</v>
      </c>
      <c r="D190" s="143">
        <f t="shared" si="17"/>
        <v>2088</v>
      </c>
      <c r="E190" s="176">
        <v>1000</v>
      </c>
      <c r="F190" s="1107">
        <v>0.5</v>
      </c>
      <c r="G190" s="176">
        <v>0.25</v>
      </c>
      <c r="H190" s="172">
        <f t="shared" si="18"/>
        <v>21067.919999999998</v>
      </c>
      <c r="I190" s="162"/>
      <c r="J190" s="162"/>
      <c r="K190" s="162"/>
      <c r="L190" s="162"/>
      <c r="M190" s="162"/>
      <c r="N190" s="162"/>
      <c r="O190" s="162"/>
      <c r="P190" s="162"/>
      <c r="Q190" s="339">
        <f t="shared" si="6"/>
        <v>0</v>
      </c>
      <c r="R190" s="339">
        <f t="shared" si="7"/>
        <v>0</v>
      </c>
      <c r="S190" s="339">
        <f t="shared" si="8"/>
        <v>0</v>
      </c>
      <c r="T190" s="339">
        <f t="shared" si="9"/>
        <v>0</v>
      </c>
      <c r="U190" s="339">
        <f t="shared" si="10"/>
        <v>0</v>
      </c>
      <c r="V190" s="339">
        <f t="shared" si="11"/>
        <v>0</v>
      </c>
      <c r="W190" s="339">
        <f t="shared" si="12"/>
        <v>21067.919999999998</v>
      </c>
      <c r="X190" s="339">
        <f t="shared" si="13"/>
        <v>0</v>
      </c>
      <c r="Y190" s="339">
        <f t="shared" si="14"/>
        <v>0</v>
      </c>
      <c r="Z190" s="162"/>
      <c r="AA190" s="162"/>
      <c r="AB190" s="162"/>
      <c r="AC190" s="162"/>
      <c r="AD190" s="162"/>
    </row>
    <row r="191" spans="1:30">
      <c r="A191" s="838" t="s">
        <v>1494</v>
      </c>
      <c r="B191" s="169" t="s">
        <v>87</v>
      </c>
      <c r="C191" s="169" t="s">
        <v>773</v>
      </c>
      <c r="D191" s="143">
        <f t="shared" si="17"/>
        <v>2088</v>
      </c>
      <c r="E191" s="176">
        <v>1000</v>
      </c>
      <c r="F191" s="1107">
        <v>0.5</v>
      </c>
      <c r="G191" s="176">
        <v>0.25</v>
      </c>
      <c r="H191" s="172">
        <f t="shared" si="18"/>
        <v>21067.919999999998</v>
      </c>
      <c r="I191" s="162"/>
      <c r="J191" s="162"/>
      <c r="K191" s="162"/>
      <c r="L191" s="162"/>
      <c r="M191" s="162"/>
      <c r="N191" s="162"/>
      <c r="O191" s="162"/>
      <c r="P191" s="162"/>
      <c r="Q191" s="339">
        <f t="shared" si="6"/>
        <v>0</v>
      </c>
      <c r="R191" s="339">
        <f t="shared" si="7"/>
        <v>0</v>
      </c>
      <c r="S191" s="339">
        <f t="shared" si="8"/>
        <v>0</v>
      </c>
      <c r="T191" s="339">
        <f t="shared" si="9"/>
        <v>0</v>
      </c>
      <c r="U191" s="339">
        <f t="shared" si="10"/>
        <v>0</v>
      </c>
      <c r="V191" s="339">
        <f t="shared" si="11"/>
        <v>0</v>
      </c>
      <c r="W191" s="339">
        <f t="shared" si="12"/>
        <v>21067.919999999998</v>
      </c>
      <c r="X191" s="339">
        <f t="shared" si="13"/>
        <v>0</v>
      </c>
      <c r="Y191" s="339">
        <f t="shared" si="14"/>
        <v>0</v>
      </c>
      <c r="Z191" s="162"/>
      <c r="AA191" s="162"/>
      <c r="AB191" s="162"/>
      <c r="AC191" s="162"/>
      <c r="AD191" s="162"/>
    </row>
    <row r="192" spans="1:30">
      <c r="A192" s="838" t="s">
        <v>1495</v>
      </c>
      <c r="B192" s="169" t="s">
        <v>87</v>
      </c>
      <c r="C192" s="169" t="s">
        <v>773</v>
      </c>
      <c r="D192" s="143">
        <f t="shared" si="17"/>
        <v>2088</v>
      </c>
      <c r="E192" s="176">
        <v>1000</v>
      </c>
      <c r="F192" s="1107">
        <v>0.5</v>
      </c>
      <c r="G192" s="176">
        <v>0.25</v>
      </c>
      <c r="H192" s="172">
        <f t="shared" si="18"/>
        <v>21067.919999999998</v>
      </c>
      <c r="I192" s="162"/>
      <c r="J192" s="162"/>
      <c r="K192" s="162"/>
      <c r="L192" s="162"/>
      <c r="M192" s="162"/>
      <c r="N192" s="162"/>
      <c r="O192" s="162"/>
      <c r="P192" s="162"/>
      <c r="Q192" s="339">
        <f t="shared" si="6"/>
        <v>0</v>
      </c>
      <c r="R192" s="339">
        <f t="shared" si="7"/>
        <v>0</v>
      </c>
      <c r="S192" s="339">
        <f t="shared" si="8"/>
        <v>0</v>
      </c>
      <c r="T192" s="339">
        <f t="shared" si="9"/>
        <v>0</v>
      </c>
      <c r="U192" s="339">
        <f t="shared" si="10"/>
        <v>0</v>
      </c>
      <c r="V192" s="339">
        <f t="shared" si="11"/>
        <v>0</v>
      </c>
      <c r="W192" s="339">
        <f t="shared" si="12"/>
        <v>21067.919999999998</v>
      </c>
      <c r="X192" s="339">
        <f t="shared" si="13"/>
        <v>0</v>
      </c>
      <c r="Y192" s="339">
        <f t="shared" si="14"/>
        <v>0</v>
      </c>
      <c r="Z192" s="162"/>
      <c r="AA192" s="162"/>
      <c r="AB192" s="162"/>
      <c r="AC192" s="162"/>
      <c r="AD192" s="162"/>
    </row>
    <row r="193" spans="1:30">
      <c r="A193" s="838" t="s">
        <v>1496</v>
      </c>
      <c r="B193" s="169" t="s">
        <v>87</v>
      </c>
      <c r="C193" s="169" t="s">
        <v>773</v>
      </c>
      <c r="D193" s="143">
        <f t="shared" si="17"/>
        <v>2088</v>
      </c>
      <c r="E193" s="176">
        <v>1000</v>
      </c>
      <c r="F193" s="1107">
        <v>0.5</v>
      </c>
      <c r="G193" s="176">
        <v>0.25</v>
      </c>
      <c r="H193" s="172">
        <f t="shared" si="18"/>
        <v>21067.919999999998</v>
      </c>
      <c r="I193" s="162"/>
      <c r="J193" s="162"/>
      <c r="K193" s="162"/>
      <c r="L193" s="162"/>
      <c r="M193" s="162"/>
      <c r="N193" s="162"/>
      <c r="O193" s="162"/>
      <c r="P193" s="162"/>
      <c r="Q193" s="339">
        <f t="shared" si="6"/>
        <v>0</v>
      </c>
      <c r="R193" s="339">
        <f t="shared" si="7"/>
        <v>0</v>
      </c>
      <c r="S193" s="339">
        <f t="shared" si="8"/>
        <v>0</v>
      </c>
      <c r="T193" s="339">
        <f t="shared" si="9"/>
        <v>0</v>
      </c>
      <c r="U193" s="339">
        <f t="shared" si="10"/>
        <v>0</v>
      </c>
      <c r="V193" s="339">
        <f t="shared" si="11"/>
        <v>0</v>
      </c>
      <c r="W193" s="339">
        <f t="shared" si="12"/>
        <v>21067.919999999998</v>
      </c>
      <c r="X193" s="339">
        <f t="shared" si="13"/>
        <v>0</v>
      </c>
      <c r="Y193" s="339">
        <f t="shared" si="14"/>
        <v>0</v>
      </c>
      <c r="Z193" s="162"/>
      <c r="AA193" s="162"/>
      <c r="AB193" s="162"/>
      <c r="AC193" s="162"/>
      <c r="AD193" s="162"/>
    </row>
    <row r="194" spans="1:30">
      <c r="A194" s="838" t="s">
        <v>1497</v>
      </c>
      <c r="B194" s="169" t="s">
        <v>87</v>
      </c>
      <c r="C194" s="169" t="s">
        <v>773</v>
      </c>
      <c r="D194" s="143">
        <f t="shared" si="17"/>
        <v>2088</v>
      </c>
      <c r="E194" s="176">
        <v>1000</v>
      </c>
      <c r="F194" s="1107">
        <v>0.5</v>
      </c>
      <c r="G194" s="176">
        <v>0.25</v>
      </c>
      <c r="H194" s="172">
        <f t="shared" si="18"/>
        <v>21067.919999999998</v>
      </c>
      <c r="I194" s="162"/>
      <c r="J194" s="162"/>
      <c r="K194" s="162"/>
      <c r="L194" s="162"/>
      <c r="M194" s="162"/>
      <c r="N194" s="162"/>
      <c r="O194" s="162"/>
      <c r="P194" s="162"/>
      <c r="Q194" s="339">
        <f t="shared" si="6"/>
        <v>0</v>
      </c>
      <c r="R194" s="339">
        <f t="shared" si="7"/>
        <v>0</v>
      </c>
      <c r="S194" s="339">
        <f t="shared" si="8"/>
        <v>0</v>
      </c>
      <c r="T194" s="339">
        <f t="shared" si="9"/>
        <v>0</v>
      </c>
      <c r="U194" s="339">
        <f t="shared" si="10"/>
        <v>0</v>
      </c>
      <c r="V194" s="339">
        <f t="shared" si="11"/>
        <v>0</v>
      </c>
      <c r="W194" s="339">
        <f t="shared" si="12"/>
        <v>21067.919999999998</v>
      </c>
      <c r="X194" s="339">
        <f t="shared" si="13"/>
        <v>0</v>
      </c>
      <c r="Y194" s="339">
        <f t="shared" si="14"/>
        <v>0</v>
      </c>
      <c r="Z194" s="162"/>
      <c r="AA194" s="162"/>
      <c r="AB194" s="162"/>
      <c r="AC194" s="162"/>
      <c r="AD194" s="162"/>
    </row>
    <row r="195" spans="1:30">
      <c r="A195" s="838" t="s">
        <v>1498</v>
      </c>
      <c r="B195" s="169" t="s">
        <v>87</v>
      </c>
      <c r="C195" s="169" t="s">
        <v>773</v>
      </c>
      <c r="D195" s="143">
        <f t="shared" si="17"/>
        <v>2088</v>
      </c>
      <c r="E195" s="176">
        <v>1000</v>
      </c>
      <c r="F195" s="1107">
        <v>0.5</v>
      </c>
      <c r="G195" s="176">
        <v>0.25</v>
      </c>
      <c r="H195" s="172">
        <f t="shared" si="18"/>
        <v>21067.919999999998</v>
      </c>
      <c r="I195" s="162"/>
      <c r="J195" s="162"/>
      <c r="K195" s="162"/>
      <c r="L195" s="162"/>
      <c r="M195" s="162"/>
      <c r="N195" s="162"/>
      <c r="O195" s="162"/>
      <c r="P195" s="162"/>
      <c r="Q195" s="339">
        <f t="shared" si="6"/>
        <v>0</v>
      </c>
      <c r="R195" s="339">
        <f t="shared" si="7"/>
        <v>0</v>
      </c>
      <c r="S195" s="339">
        <f t="shared" si="8"/>
        <v>0</v>
      </c>
      <c r="T195" s="339">
        <f t="shared" si="9"/>
        <v>0</v>
      </c>
      <c r="U195" s="339">
        <f t="shared" si="10"/>
        <v>0</v>
      </c>
      <c r="V195" s="339">
        <f t="shared" si="11"/>
        <v>0</v>
      </c>
      <c r="W195" s="339">
        <f t="shared" si="12"/>
        <v>21067.919999999998</v>
      </c>
      <c r="X195" s="339">
        <f t="shared" si="13"/>
        <v>0</v>
      </c>
      <c r="Y195" s="339">
        <f t="shared" si="14"/>
        <v>0</v>
      </c>
      <c r="Z195" s="162"/>
      <c r="AA195" s="162"/>
      <c r="AB195" s="162"/>
      <c r="AC195" s="162"/>
      <c r="AD195" s="162"/>
    </row>
    <row r="196" spans="1:30">
      <c r="A196" s="838" t="s">
        <v>1499</v>
      </c>
      <c r="B196" s="169" t="s">
        <v>87</v>
      </c>
      <c r="C196" s="169" t="s">
        <v>773</v>
      </c>
      <c r="D196" s="143">
        <f t="shared" si="17"/>
        <v>2088</v>
      </c>
      <c r="E196" s="176">
        <v>1000</v>
      </c>
      <c r="F196" s="1107">
        <v>0.5</v>
      </c>
      <c r="G196" s="176">
        <v>0.25</v>
      </c>
      <c r="H196" s="172">
        <f t="shared" si="18"/>
        <v>21067.919999999998</v>
      </c>
      <c r="I196" s="162"/>
      <c r="J196" s="162"/>
      <c r="K196" s="162"/>
      <c r="L196" s="162"/>
      <c r="M196" s="162"/>
      <c r="N196" s="162"/>
      <c r="O196" s="162"/>
      <c r="P196" s="162"/>
      <c r="Q196" s="339">
        <f t="shared" si="6"/>
        <v>0</v>
      </c>
      <c r="R196" s="339">
        <f t="shared" si="7"/>
        <v>0</v>
      </c>
      <c r="S196" s="339">
        <f t="shared" si="8"/>
        <v>0</v>
      </c>
      <c r="T196" s="339">
        <f t="shared" si="9"/>
        <v>0</v>
      </c>
      <c r="U196" s="339">
        <f t="shared" si="10"/>
        <v>0</v>
      </c>
      <c r="V196" s="339">
        <f t="shared" si="11"/>
        <v>0</v>
      </c>
      <c r="W196" s="339">
        <f t="shared" si="12"/>
        <v>21067.919999999998</v>
      </c>
      <c r="X196" s="339">
        <f t="shared" si="13"/>
        <v>0</v>
      </c>
      <c r="Y196" s="339">
        <f t="shared" si="14"/>
        <v>0</v>
      </c>
      <c r="Z196" s="162"/>
      <c r="AA196" s="162"/>
      <c r="AB196" s="162"/>
      <c r="AC196" s="162"/>
      <c r="AD196" s="162"/>
    </row>
    <row r="197" spans="1:30">
      <c r="A197" s="838" t="s">
        <v>1500</v>
      </c>
      <c r="B197" s="169" t="s">
        <v>87</v>
      </c>
      <c r="C197" s="169" t="s">
        <v>773</v>
      </c>
      <c r="D197" s="143">
        <f t="shared" si="17"/>
        <v>2088</v>
      </c>
      <c r="E197" s="176">
        <v>1000</v>
      </c>
      <c r="F197" s="1107">
        <v>0.5</v>
      </c>
      <c r="G197" s="176">
        <v>0.25</v>
      </c>
      <c r="H197" s="172">
        <f t="shared" si="18"/>
        <v>21067.919999999998</v>
      </c>
      <c r="I197" s="162"/>
      <c r="J197" s="162"/>
      <c r="K197" s="162"/>
      <c r="L197" s="162"/>
      <c r="M197" s="162"/>
      <c r="N197" s="162"/>
      <c r="O197" s="162"/>
      <c r="P197" s="162"/>
      <c r="Q197" s="339">
        <f t="shared" si="6"/>
        <v>0</v>
      </c>
      <c r="R197" s="339">
        <f t="shared" si="7"/>
        <v>0</v>
      </c>
      <c r="S197" s="339">
        <f t="shared" si="8"/>
        <v>0</v>
      </c>
      <c r="T197" s="339">
        <f t="shared" si="9"/>
        <v>0</v>
      </c>
      <c r="U197" s="339">
        <f t="shared" si="10"/>
        <v>0</v>
      </c>
      <c r="V197" s="339">
        <f t="shared" si="11"/>
        <v>0</v>
      </c>
      <c r="W197" s="339">
        <f t="shared" si="12"/>
        <v>21067.919999999998</v>
      </c>
      <c r="X197" s="339">
        <f t="shared" si="13"/>
        <v>0</v>
      </c>
      <c r="Y197" s="339">
        <f t="shared" si="14"/>
        <v>0</v>
      </c>
      <c r="Z197" s="162"/>
      <c r="AA197" s="162"/>
      <c r="AB197" s="162"/>
      <c r="AC197" s="162"/>
      <c r="AD197" s="162"/>
    </row>
    <row r="198" spans="1:30">
      <c r="A198" s="838" t="s">
        <v>1501</v>
      </c>
      <c r="B198" s="169" t="s">
        <v>87</v>
      </c>
      <c r="C198" s="169" t="s">
        <v>773</v>
      </c>
      <c r="D198" s="143">
        <f t="shared" si="17"/>
        <v>2088</v>
      </c>
      <c r="E198" s="176">
        <v>1000</v>
      </c>
      <c r="F198" s="1107">
        <v>0.5</v>
      </c>
      <c r="G198" s="176">
        <v>0.25</v>
      </c>
      <c r="H198" s="172">
        <f t="shared" si="18"/>
        <v>21067.919999999998</v>
      </c>
      <c r="I198" s="162"/>
      <c r="J198" s="162"/>
      <c r="K198" s="162"/>
      <c r="L198" s="162"/>
      <c r="M198" s="162"/>
      <c r="N198" s="162"/>
      <c r="O198" s="162"/>
      <c r="P198" s="162"/>
      <c r="Q198" s="339">
        <f t="shared" si="6"/>
        <v>0</v>
      </c>
      <c r="R198" s="339">
        <f t="shared" si="7"/>
        <v>0</v>
      </c>
      <c r="S198" s="339">
        <f t="shared" si="8"/>
        <v>0</v>
      </c>
      <c r="T198" s="339">
        <f t="shared" si="9"/>
        <v>0</v>
      </c>
      <c r="U198" s="339">
        <f t="shared" si="10"/>
        <v>0</v>
      </c>
      <c r="V198" s="339">
        <f t="shared" si="11"/>
        <v>0</v>
      </c>
      <c r="W198" s="339">
        <f t="shared" si="12"/>
        <v>21067.919999999998</v>
      </c>
      <c r="X198" s="339">
        <f t="shared" si="13"/>
        <v>0</v>
      </c>
      <c r="Y198" s="339">
        <f t="shared" si="14"/>
        <v>0</v>
      </c>
      <c r="Z198" s="162"/>
      <c r="AA198" s="162"/>
      <c r="AB198" s="162"/>
      <c r="AC198" s="162"/>
      <c r="AD198" s="162"/>
    </row>
    <row r="199" spans="1:30">
      <c r="A199" s="838" t="s">
        <v>1502</v>
      </c>
      <c r="B199" s="169" t="s">
        <v>87</v>
      </c>
      <c r="C199" s="169" t="s">
        <v>773</v>
      </c>
      <c r="D199" s="143">
        <f t="shared" si="17"/>
        <v>2088</v>
      </c>
      <c r="E199" s="176">
        <v>1000</v>
      </c>
      <c r="F199" s="1107">
        <v>0.5</v>
      </c>
      <c r="G199" s="176">
        <v>0.25</v>
      </c>
      <c r="H199" s="172">
        <f t="shared" si="18"/>
        <v>21067.919999999998</v>
      </c>
      <c r="I199" s="162"/>
      <c r="J199" s="162"/>
      <c r="K199" s="162"/>
      <c r="L199" s="162"/>
      <c r="M199" s="162"/>
      <c r="N199" s="162"/>
      <c r="O199" s="162"/>
      <c r="P199" s="162"/>
      <c r="Q199" s="339">
        <f t="shared" si="6"/>
        <v>0</v>
      </c>
      <c r="R199" s="339">
        <f t="shared" si="7"/>
        <v>0</v>
      </c>
      <c r="S199" s="339">
        <f t="shared" si="8"/>
        <v>0</v>
      </c>
      <c r="T199" s="339">
        <f t="shared" si="9"/>
        <v>0</v>
      </c>
      <c r="U199" s="339">
        <f t="shared" si="10"/>
        <v>0</v>
      </c>
      <c r="V199" s="339">
        <f t="shared" si="11"/>
        <v>0</v>
      </c>
      <c r="W199" s="339">
        <f t="shared" si="12"/>
        <v>21067.919999999998</v>
      </c>
      <c r="X199" s="339">
        <f t="shared" si="13"/>
        <v>0</v>
      </c>
      <c r="Y199" s="339">
        <f t="shared" si="14"/>
        <v>0</v>
      </c>
      <c r="Z199" s="162"/>
      <c r="AA199" s="162"/>
      <c r="AB199" s="162"/>
      <c r="AC199" s="162"/>
      <c r="AD199" s="162"/>
    </row>
    <row r="200" spans="1:30">
      <c r="A200" s="838" t="s">
        <v>1503</v>
      </c>
      <c r="B200" s="169" t="s">
        <v>87</v>
      </c>
      <c r="C200" s="169" t="s">
        <v>773</v>
      </c>
      <c r="D200" s="143">
        <f t="shared" si="17"/>
        <v>2088</v>
      </c>
      <c r="E200" s="176">
        <v>1000</v>
      </c>
      <c r="F200" s="1107">
        <v>0.5</v>
      </c>
      <c r="G200" s="176">
        <v>0.25</v>
      </c>
      <c r="H200" s="172">
        <f t="shared" si="18"/>
        <v>21067.919999999998</v>
      </c>
      <c r="I200" s="162"/>
      <c r="J200" s="162"/>
      <c r="K200" s="162"/>
      <c r="L200" s="162"/>
      <c r="M200" s="162"/>
      <c r="N200" s="162"/>
      <c r="O200" s="162"/>
      <c r="P200" s="162"/>
      <c r="Q200" s="339">
        <f t="shared" si="6"/>
        <v>0</v>
      </c>
      <c r="R200" s="339">
        <f t="shared" si="7"/>
        <v>0</v>
      </c>
      <c r="S200" s="339">
        <f t="shared" si="8"/>
        <v>0</v>
      </c>
      <c r="T200" s="339">
        <f t="shared" si="9"/>
        <v>0</v>
      </c>
      <c r="U200" s="339">
        <f t="shared" si="10"/>
        <v>0</v>
      </c>
      <c r="V200" s="339">
        <f t="shared" si="11"/>
        <v>0</v>
      </c>
      <c r="W200" s="339">
        <f t="shared" si="12"/>
        <v>21067.919999999998</v>
      </c>
      <c r="X200" s="339">
        <f t="shared" si="13"/>
        <v>0</v>
      </c>
      <c r="Y200" s="339">
        <f t="shared" si="14"/>
        <v>0</v>
      </c>
      <c r="Z200" s="162"/>
      <c r="AA200" s="162"/>
      <c r="AB200" s="162"/>
      <c r="AC200" s="162"/>
      <c r="AD200" s="162"/>
    </row>
    <row r="201" spans="1:30">
      <c r="A201" s="838" t="s">
        <v>1504</v>
      </c>
      <c r="B201" s="169" t="s">
        <v>87</v>
      </c>
      <c r="C201" s="169" t="s">
        <v>773</v>
      </c>
      <c r="D201" s="143">
        <f t="shared" si="17"/>
        <v>2088</v>
      </c>
      <c r="E201" s="176">
        <v>1000</v>
      </c>
      <c r="F201" s="1107">
        <v>0.5</v>
      </c>
      <c r="G201" s="176">
        <v>0.25</v>
      </c>
      <c r="H201" s="172">
        <f t="shared" si="18"/>
        <v>21067.919999999998</v>
      </c>
      <c r="I201" s="162"/>
      <c r="J201" s="162"/>
      <c r="K201" s="162"/>
      <c r="L201" s="162"/>
      <c r="M201" s="162"/>
      <c r="N201" s="162"/>
      <c r="O201" s="162"/>
      <c r="P201" s="162"/>
      <c r="Q201" s="339">
        <f t="shared" si="6"/>
        <v>0</v>
      </c>
      <c r="R201" s="339">
        <f t="shared" si="7"/>
        <v>0</v>
      </c>
      <c r="S201" s="339">
        <f t="shared" si="8"/>
        <v>0</v>
      </c>
      <c r="T201" s="339">
        <f t="shared" si="9"/>
        <v>0</v>
      </c>
      <c r="U201" s="339">
        <f t="shared" si="10"/>
        <v>0</v>
      </c>
      <c r="V201" s="339">
        <f t="shared" si="11"/>
        <v>0</v>
      </c>
      <c r="W201" s="339">
        <f t="shared" si="12"/>
        <v>21067.919999999998</v>
      </c>
      <c r="X201" s="339">
        <f t="shared" si="13"/>
        <v>0</v>
      </c>
      <c r="Y201" s="339">
        <f t="shared" si="14"/>
        <v>0</v>
      </c>
      <c r="Z201" s="162"/>
      <c r="AA201" s="162"/>
      <c r="AB201" s="162"/>
      <c r="AC201" s="162"/>
      <c r="AD201" s="162"/>
    </row>
    <row r="202" spans="1:30">
      <c r="A202" s="838" t="s">
        <v>1505</v>
      </c>
      <c r="B202" s="169" t="s">
        <v>87</v>
      </c>
      <c r="C202" s="169" t="s">
        <v>773</v>
      </c>
      <c r="D202" s="143">
        <f t="shared" si="17"/>
        <v>2088</v>
      </c>
      <c r="E202" s="176">
        <v>1000</v>
      </c>
      <c r="F202" s="1107">
        <v>0.5</v>
      </c>
      <c r="G202" s="176">
        <v>0.25</v>
      </c>
      <c r="H202" s="172">
        <f t="shared" si="18"/>
        <v>21067.919999999998</v>
      </c>
      <c r="I202" s="162"/>
      <c r="J202" s="162"/>
      <c r="K202" s="162"/>
      <c r="L202" s="162"/>
      <c r="M202" s="162"/>
      <c r="N202" s="162"/>
      <c r="O202" s="162"/>
      <c r="P202" s="162"/>
      <c r="Q202" s="339">
        <f t="shared" si="6"/>
        <v>0</v>
      </c>
      <c r="R202" s="339">
        <f t="shared" si="7"/>
        <v>0</v>
      </c>
      <c r="S202" s="339">
        <f t="shared" si="8"/>
        <v>0</v>
      </c>
      <c r="T202" s="339">
        <f t="shared" si="9"/>
        <v>0</v>
      </c>
      <c r="U202" s="339">
        <f t="shared" si="10"/>
        <v>0</v>
      </c>
      <c r="V202" s="339">
        <f t="shared" si="11"/>
        <v>0</v>
      </c>
      <c r="W202" s="339">
        <f t="shared" si="12"/>
        <v>21067.919999999998</v>
      </c>
      <c r="X202" s="339">
        <f t="shared" si="13"/>
        <v>0</v>
      </c>
      <c r="Y202" s="339">
        <f t="shared" si="14"/>
        <v>0</v>
      </c>
      <c r="Z202" s="162"/>
      <c r="AA202" s="162"/>
      <c r="AB202" s="162"/>
      <c r="AC202" s="162"/>
      <c r="AD202" s="162"/>
    </row>
    <row r="203" spans="1:30">
      <c r="A203" s="838" t="s">
        <v>1506</v>
      </c>
      <c r="B203" s="169" t="s">
        <v>87</v>
      </c>
      <c r="C203" s="169" t="s">
        <v>773</v>
      </c>
      <c r="D203" s="143">
        <f t="shared" si="17"/>
        <v>2088</v>
      </c>
      <c r="E203" s="176">
        <v>1000</v>
      </c>
      <c r="F203" s="1107">
        <v>0.5</v>
      </c>
      <c r="G203" s="176">
        <v>0.25</v>
      </c>
      <c r="H203" s="172">
        <f t="shared" si="18"/>
        <v>21067.919999999998</v>
      </c>
      <c r="I203" s="162"/>
      <c r="J203" s="162"/>
      <c r="K203" s="162"/>
      <c r="L203" s="162"/>
      <c r="M203" s="162"/>
      <c r="N203" s="162"/>
      <c r="O203" s="162"/>
      <c r="P203" s="162"/>
      <c r="Q203" s="339">
        <f t="shared" si="6"/>
        <v>0</v>
      </c>
      <c r="R203" s="339">
        <f t="shared" si="7"/>
        <v>0</v>
      </c>
      <c r="S203" s="339">
        <f t="shared" si="8"/>
        <v>0</v>
      </c>
      <c r="T203" s="339">
        <f t="shared" si="9"/>
        <v>0</v>
      </c>
      <c r="U203" s="339">
        <f t="shared" si="10"/>
        <v>0</v>
      </c>
      <c r="V203" s="339">
        <f t="shared" si="11"/>
        <v>0</v>
      </c>
      <c r="W203" s="339">
        <f t="shared" si="12"/>
        <v>21067.919999999998</v>
      </c>
      <c r="X203" s="339">
        <f t="shared" si="13"/>
        <v>0</v>
      </c>
      <c r="Y203" s="339">
        <f t="shared" si="14"/>
        <v>0</v>
      </c>
      <c r="Z203" s="162"/>
      <c r="AA203" s="162"/>
      <c r="AB203" s="162"/>
      <c r="AC203" s="162"/>
      <c r="AD203" s="162"/>
    </row>
    <row r="204" spans="1:30">
      <c r="A204" s="838" t="s">
        <v>1507</v>
      </c>
      <c r="B204" s="169" t="s">
        <v>87</v>
      </c>
      <c r="C204" s="169" t="s">
        <v>773</v>
      </c>
      <c r="D204" s="143">
        <f t="shared" si="17"/>
        <v>2088</v>
      </c>
      <c r="E204" s="176">
        <v>1000</v>
      </c>
      <c r="F204" s="1107">
        <v>0.5</v>
      </c>
      <c r="G204" s="176">
        <v>0.25</v>
      </c>
      <c r="H204" s="172">
        <f t="shared" si="18"/>
        <v>21067.919999999998</v>
      </c>
      <c r="I204" s="162"/>
      <c r="J204" s="162"/>
      <c r="K204" s="162"/>
      <c r="L204" s="162"/>
      <c r="M204" s="162"/>
      <c r="N204" s="162"/>
      <c r="O204" s="162"/>
      <c r="P204" s="162"/>
      <c r="Q204" s="339">
        <f t="shared" si="6"/>
        <v>0</v>
      </c>
      <c r="R204" s="339">
        <f t="shared" si="7"/>
        <v>0</v>
      </c>
      <c r="S204" s="339">
        <f t="shared" si="8"/>
        <v>0</v>
      </c>
      <c r="T204" s="339">
        <f t="shared" si="9"/>
        <v>0</v>
      </c>
      <c r="U204" s="339">
        <f t="shared" si="10"/>
        <v>0</v>
      </c>
      <c r="V204" s="339">
        <f t="shared" si="11"/>
        <v>0</v>
      </c>
      <c r="W204" s="339">
        <f t="shared" si="12"/>
        <v>21067.919999999998</v>
      </c>
      <c r="X204" s="339">
        <f t="shared" si="13"/>
        <v>0</v>
      </c>
      <c r="Y204" s="339">
        <f t="shared" si="14"/>
        <v>0</v>
      </c>
      <c r="Z204" s="162"/>
      <c r="AA204" s="162"/>
      <c r="AB204" s="162"/>
      <c r="AC204" s="162"/>
      <c r="AD204" s="162"/>
    </row>
    <row r="205" spans="1:30">
      <c r="A205" s="838" t="s">
        <v>1508</v>
      </c>
      <c r="B205" s="169" t="s">
        <v>87</v>
      </c>
      <c r="C205" s="169" t="s">
        <v>773</v>
      </c>
      <c r="D205" s="143">
        <f t="shared" si="17"/>
        <v>2088</v>
      </c>
      <c r="E205" s="176">
        <v>1000</v>
      </c>
      <c r="F205" s="1107">
        <v>0.5</v>
      </c>
      <c r="G205" s="176">
        <v>0.25</v>
      </c>
      <c r="H205" s="172">
        <f t="shared" si="18"/>
        <v>21067.919999999998</v>
      </c>
      <c r="I205" s="162"/>
      <c r="J205" s="162"/>
      <c r="K205" s="162"/>
      <c r="L205" s="162"/>
      <c r="M205" s="162"/>
      <c r="N205" s="162"/>
      <c r="O205" s="162"/>
      <c r="P205" s="162"/>
      <c r="Q205" s="339">
        <f t="shared" si="6"/>
        <v>0</v>
      </c>
      <c r="R205" s="339">
        <f t="shared" si="7"/>
        <v>0</v>
      </c>
      <c r="S205" s="339">
        <f t="shared" si="8"/>
        <v>0</v>
      </c>
      <c r="T205" s="339">
        <f t="shared" si="9"/>
        <v>0</v>
      </c>
      <c r="U205" s="339">
        <f t="shared" si="10"/>
        <v>0</v>
      </c>
      <c r="V205" s="339">
        <f t="shared" si="11"/>
        <v>0</v>
      </c>
      <c r="W205" s="339">
        <f t="shared" si="12"/>
        <v>21067.919999999998</v>
      </c>
      <c r="X205" s="339">
        <f t="shared" si="13"/>
        <v>0</v>
      </c>
      <c r="Y205" s="339">
        <f t="shared" si="14"/>
        <v>0</v>
      </c>
      <c r="Z205" s="162"/>
      <c r="AA205" s="162"/>
      <c r="AB205" s="162"/>
      <c r="AC205" s="162"/>
      <c r="AD205" s="162"/>
    </row>
    <row r="206" spans="1:30">
      <c r="A206" s="838" t="s">
        <v>1509</v>
      </c>
      <c r="B206" s="169" t="s">
        <v>87</v>
      </c>
      <c r="C206" s="169" t="s">
        <v>773</v>
      </c>
      <c r="D206" s="143">
        <f t="shared" si="17"/>
        <v>2088</v>
      </c>
      <c r="E206" s="176">
        <v>1000</v>
      </c>
      <c r="F206" s="1107">
        <v>0.5</v>
      </c>
      <c r="G206" s="176">
        <v>0.25</v>
      </c>
      <c r="H206" s="172">
        <f t="shared" si="18"/>
        <v>21067.919999999998</v>
      </c>
      <c r="I206" s="162"/>
      <c r="J206" s="162"/>
      <c r="K206" s="162"/>
      <c r="L206" s="162"/>
      <c r="M206" s="162"/>
      <c r="N206" s="162"/>
      <c r="O206" s="162"/>
      <c r="P206" s="162"/>
      <c r="Q206" s="339">
        <f t="shared" si="6"/>
        <v>0</v>
      </c>
      <c r="R206" s="339">
        <f t="shared" si="7"/>
        <v>0</v>
      </c>
      <c r="S206" s="339">
        <f t="shared" si="8"/>
        <v>0</v>
      </c>
      <c r="T206" s="339">
        <f t="shared" si="9"/>
        <v>0</v>
      </c>
      <c r="U206" s="339">
        <f t="shared" si="10"/>
        <v>0</v>
      </c>
      <c r="V206" s="339">
        <f t="shared" si="11"/>
        <v>0</v>
      </c>
      <c r="W206" s="339">
        <f t="shared" si="12"/>
        <v>21067.919999999998</v>
      </c>
      <c r="X206" s="339">
        <f t="shared" si="13"/>
        <v>0</v>
      </c>
      <c r="Y206" s="339">
        <f t="shared" si="14"/>
        <v>0</v>
      </c>
      <c r="Z206" s="162"/>
      <c r="AA206" s="162"/>
      <c r="AB206" s="162"/>
      <c r="AC206" s="162"/>
      <c r="AD206" s="162"/>
    </row>
    <row r="207" spans="1:30">
      <c r="A207" s="838" t="s">
        <v>1510</v>
      </c>
      <c r="B207" s="169" t="s">
        <v>87</v>
      </c>
      <c r="C207" s="169" t="s">
        <v>773</v>
      </c>
      <c r="D207" s="143">
        <f t="shared" si="17"/>
        <v>2088</v>
      </c>
      <c r="E207" s="176">
        <v>1000</v>
      </c>
      <c r="F207" s="1107">
        <v>0.5</v>
      </c>
      <c r="G207" s="176">
        <v>0.25</v>
      </c>
      <c r="H207" s="172">
        <f t="shared" si="18"/>
        <v>21067.919999999998</v>
      </c>
      <c r="I207" s="162"/>
      <c r="J207" s="162"/>
      <c r="K207" s="162"/>
      <c r="L207" s="162"/>
      <c r="M207" s="162"/>
      <c r="N207" s="162"/>
      <c r="O207" s="162"/>
      <c r="P207" s="162"/>
      <c r="Q207" s="339">
        <f t="shared" si="6"/>
        <v>0</v>
      </c>
      <c r="R207" s="339">
        <f t="shared" si="7"/>
        <v>0</v>
      </c>
      <c r="S207" s="339">
        <f t="shared" si="8"/>
        <v>0</v>
      </c>
      <c r="T207" s="339">
        <f t="shared" si="9"/>
        <v>0</v>
      </c>
      <c r="U207" s="339">
        <f t="shared" si="10"/>
        <v>0</v>
      </c>
      <c r="V207" s="339">
        <f t="shared" si="11"/>
        <v>0</v>
      </c>
      <c r="W207" s="339">
        <f t="shared" si="12"/>
        <v>21067.919999999998</v>
      </c>
      <c r="X207" s="339">
        <f t="shared" si="13"/>
        <v>0</v>
      </c>
      <c r="Y207" s="339">
        <f t="shared" si="14"/>
        <v>0</v>
      </c>
      <c r="Z207" s="162"/>
      <c r="AA207" s="162"/>
      <c r="AB207" s="162"/>
      <c r="AC207" s="162"/>
      <c r="AD207" s="162"/>
    </row>
    <row r="208" spans="1:30">
      <c r="A208" s="838" t="s">
        <v>1511</v>
      </c>
      <c r="B208" s="169" t="s">
        <v>87</v>
      </c>
      <c r="C208" s="169" t="s">
        <v>773</v>
      </c>
      <c r="D208" s="143">
        <f t="shared" si="17"/>
        <v>2088</v>
      </c>
      <c r="E208" s="176">
        <v>1000</v>
      </c>
      <c r="F208" s="1107">
        <v>0.5</v>
      </c>
      <c r="G208" s="176">
        <v>0.25</v>
      </c>
      <c r="H208" s="172">
        <f t="shared" si="18"/>
        <v>21067.919999999998</v>
      </c>
      <c r="I208" s="162"/>
      <c r="J208" s="162"/>
      <c r="K208" s="162"/>
      <c r="L208" s="162"/>
      <c r="M208" s="162"/>
      <c r="N208" s="162"/>
      <c r="O208" s="162"/>
      <c r="P208" s="162"/>
      <c r="Q208" s="339">
        <f t="shared" si="6"/>
        <v>0</v>
      </c>
      <c r="R208" s="339">
        <f t="shared" si="7"/>
        <v>0</v>
      </c>
      <c r="S208" s="339">
        <f t="shared" si="8"/>
        <v>0</v>
      </c>
      <c r="T208" s="339">
        <f t="shared" si="9"/>
        <v>0</v>
      </c>
      <c r="U208" s="339">
        <f t="shared" si="10"/>
        <v>0</v>
      </c>
      <c r="V208" s="339">
        <f t="shared" si="11"/>
        <v>0</v>
      </c>
      <c r="W208" s="339">
        <f t="shared" si="12"/>
        <v>21067.919999999998</v>
      </c>
      <c r="X208" s="339">
        <f t="shared" si="13"/>
        <v>0</v>
      </c>
      <c r="Y208" s="339">
        <f t="shared" si="14"/>
        <v>0</v>
      </c>
      <c r="Z208" s="162"/>
      <c r="AA208" s="162"/>
      <c r="AB208" s="162"/>
      <c r="AC208" s="162"/>
      <c r="AD208" s="162"/>
    </row>
    <row r="209" spans="1:30">
      <c r="A209" s="838" t="s">
        <v>1512</v>
      </c>
      <c r="B209" s="169" t="s">
        <v>87</v>
      </c>
      <c r="C209" s="169" t="s">
        <v>773</v>
      </c>
      <c r="D209" s="143">
        <f t="shared" si="17"/>
        <v>2088</v>
      </c>
      <c r="E209" s="176">
        <v>1000</v>
      </c>
      <c r="F209" s="1107">
        <v>0.5</v>
      </c>
      <c r="G209" s="176">
        <v>0.25</v>
      </c>
      <c r="H209" s="172">
        <f t="shared" si="18"/>
        <v>21067.919999999998</v>
      </c>
      <c r="I209" s="162"/>
      <c r="J209" s="162"/>
      <c r="K209" s="162"/>
      <c r="L209" s="162"/>
      <c r="M209" s="162"/>
      <c r="N209" s="162"/>
      <c r="O209" s="162"/>
      <c r="P209" s="162"/>
      <c r="Q209" s="339">
        <f t="shared" si="6"/>
        <v>0</v>
      </c>
      <c r="R209" s="339">
        <f t="shared" si="7"/>
        <v>0</v>
      </c>
      <c r="S209" s="339">
        <f t="shared" si="8"/>
        <v>0</v>
      </c>
      <c r="T209" s="339">
        <f t="shared" si="9"/>
        <v>0</v>
      </c>
      <c r="U209" s="339">
        <f t="shared" si="10"/>
        <v>0</v>
      </c>
      <c r="V209" s="339">
        <f t="shared" si="11"/>
        <v>0</v>
      </c>
      <c r="W209" s="339">
        <f t="shared" si="12"/>
        <v>21067.919999999998</v>
      </c>
      <c r="X209" s="339">
        <f t="shared" si="13"/>
        <v>0</v>
      </c>
      <c r="Y209" s="339">
        <f t="shared" si="14"/>
        <v>0</v>
      </c>
      <c r="Z209" s="162"/>
      <c r="AA209" s="162"/>
      <c r="AB209" s="162"/>
      <c r="AC209" s="162"/>
      <c r="AD209" s="162"/>
    </row>
    <row r="210" spans="1:30">
      <c r="A210" s="838" t="s">
        <v>1513</v>
      </c>
      <c r="B210" s="169" t="s">
        <v>87</v>
      </c>
      <c r="C210" s="169" t="s">
        <v>773</v>
      </c>
      <c r="D210" s="143">
        <f t="shared" si="17"/>
        <v>2088</v>
      </c>
      <c r="E210" s="176">
        <v>1000</v>
      </c>
      <c r="F210" s="1107">
        <v>0.5</v>
      </c>
      <c r="G210" s="176">
        <v>0.25</v>
      </c>
      <c r="H210" s="172">
        <f t="shared" si="18"/>
        <v>21067.919999999998</v>
      </c>
      <c r="I210" s="162"/>
      <c r="J210" s="162"/>
      <c r="K210" s="162"/>
      <c r="L210" s="162"/>
      <c r="M210" s="162"/>
      <c r="N210" s="162"/>
      <c r="O210" s="162"/>
      <c r="P210" s="162"/>
      <c r="Q210" s="339">
        <f t="shared" si="6"/>
        <v>0</v>
      </c>
      <c r="R210" s="339">
        <f t="shared" si="7"/>
        <v>0</v>
      </c>
      <c r="S210" s="339">
        <f t="shared" si="8"/>
        <v>0</v>
      </c>
      <c r="T210" s="339">
        <f t="shared" si="9"/>
        <v>0</v>
      </c>
      <c r="U210" s="339">
        <f t="shared" si="10"/>
        <v>0</v>
      </c>
      <c r="V210" s="339">
        <f t="shared" si="11"/>
        <v>0</v>
      </c>
      <c r="W210" s="339">
        <f t="shared" si="12"/>
        <v>21067.919999999998</v>
      </c>
      <c r="X210" s="339">
        <f t="shared" si="13"/>
        <v>0</v>
      </c>
      <c r="Y210" s="339">
        <f t="shared" si="14"/>
        <v>0</v>
      </c>
      <c r="Z210" s="162"/>
      <c r="AA210" s="162"/>
      <c r="AB210" s="162"/>
      <c r="AC210" s="162"/>
      <c r="AD210" s="162"/>
    </row>
    <row r="211" spans="1:30">
      <c r="A211" s="838" t="s">
        <v>1514</v>
      </c>
      <c r="B211" s="169" t="s">
        <v>87</v>
      </c>
      <c r="C211" s="169" t="s">
        <v>773</v>
      </c>
      <c r="D211" s="143">
        <f t="shared" si="17"/>
        <v>2088</v>
      </c>
      <c r="E211" s="176">
        <v>1000</v>
      </c>
      <c r="F211" s="1107">
        <v>0.5</v>
      </c>
      <c r="G211" s="176">
        <v>0.25</v>
      </c>
      <c r="H211" s="172">
        <f t="shared" si="18"/>
        <v>21067.919999999998</v>
      </c>
      <c r="I211" s="162"/>
      <c r="J211" s="162"/>
      <c r="K211" s="162"/>
      <c r="L211" s="162"/>
      <c r="M211" s="162"/>
      <c r="N211" s="162"/>
      <c r="O211" s="162"/>
      <c r="P211" s="162"/>
      <c r="Q211" s="339">
        <f t="shared" si="6"/>
        <v>0</v>
      </c>
      <c r="R211" s="339">
        <f t="shared" si="7"/>
        <v>0</v>
      </c>
      <c r="S211" s="339">
        <f t="shared" si="8"/>
        <v>0</v>
      </c>
      <c r="T211" s="339">
        <f t="shared" si="9"/>
        <v>0</v>
      </c>
      <c r="U211" s="339">
        <f t="shared" si="10"/>
        <v>0</v>
      </c>
      <c r="V211" s="339">
        <f t="shared" si="11"/>
        <v>0</v>
      </c>
      <c r="W211" s="339">
        <f t="shared" si="12"/>
        <v>21067.919999999998</v>
      </c>
      <c r="X211" s="339">
        <f t="shared" si="13"/>
        <v>0</v>
      </c>
      <c r="Y211" s="339">
        <f t="shared" si="14"/>
        <v>0</v>
      </c>
      <c r="Z211" s="162"/>
      <c r="AA211" s="162"/>
      <c r="AB211" s="162"/>
      <c r="AC211" s="162"/>
      <c r="AD211" s="162"/>
    </row>
    <row r="212" spans="1:30">
      <c r="A212" s="838" t="s">
        <v>1515</v>
      </c>
      <c r="B212" s="169" t="s">
        <v>87</v>
      </c>
      <c r="C212" s="169" t="s">
        <v>773</v>
      </c>
      <c r="D212" s="143">
        <f t="shared" si="17"/>
        <v>2088</v>
      </c>
      <c r="E212" s="176">
        <v>1000</v>
      </c>
      <c r="F212" s="1107">
        <v>0.5</v>
      </c>
      <c r="G212" s="176">
        <v>0.25</v>
      </c>
      <c r="H212" s="172">
        <f t="shared" si="18"/>
        <v>21067.919999999998</v>
      </c>
      <c r="I212" s="162"/>
      <c r="J212" s="162"/>
      <c r="K212" s="162"/>
      <c r="L212" s="162"/>
      <c r="M212" s="162"/>
      <c r="N212" s="162"/>
      <c r="O212" s="162"/>
      <c r="P212" s="162"/>
      <c r="Q212" s="339">
        <f t="shared" si="6"/>
        <v>0</v>
      </c>
      <c r="R212" s="339">
        <f t="shared" si="7"/>
        <v>0</v>
      </c>
      <c r="S212" s="339">
        <f t="shared" si="8"/>
        <v>0</v>
      </c>
      <c r="T212" s="339">
        <f t="shared" si="9"/>
        <v>0</v>
      </c>
      <c r="U212" s="339">
        <f t="shared" si="10"/>
        <v>0</v>
      </c>
      <c r="V212" s="339">
        <f t="shared" si="11"/>
        <v>0</v>
      </c>
      <c r="W212" s="339">
        <f t="shared" si="12"/>
        <v>21067.919999999998</v>
      </c>
      <c r="X212" s="339">
        <f t="shared" si="13"/>
        <v>0</v>
      </c>
      <c r="Y212" s="339">
        <f t="shared" si="14"/>
        <v>0</v>
      </c>
      <c r="Z212" s="162"/>
      <c r="AA212" s="162"/>
      <c r="AB212" s="162"/>
      <c r="AC212" s="162"/>
      <c r="AD212" s="162"/>
    </row>
    <row r="213" spans="1:30">
      <c r="A213" s="838" t="s">
        <v>1516</v>
      </c>
      <c r="B213" s="169" t="s">
        <v>87</v>
      </c>
      <c r="C213" s="169" t="s">
        <v>773</v>
      </c>
      <c r="D213" s="143">
        <f t="shared" si="17"/>
        <v>2088</v>
      </c>
      <c r="E213" s="176">
        <v>1000</v>
      </c>
      <c r="F213" s="1107">
        <v>0.5</v>
      </c>
      <c r="G213" s="176">
        <v>0.25</v>
      </c>
      <c r="H213" s="172">
        <f t="shared" si="18"/>
        <v>21067.919999999998</v>
      </c>
      <c r="I213" s="162"/>
      <c r="J213" s="162"/>
      <c r="K213" s="162"/>
      <c r="L213" s="162"/>
      <c r="M213" s="162"/>
      <c r="N213" s="162"/>
      <c r="O213" s="162"/>
      <c r="P213" s="162"/>
      <c r="Q213" s="339">
        <f t="shared" si="6"/>
        <v>0</v>
      </c>
      <c r="R213" s="339">
        <f t="shared" si="7"/>
        <v>0</v>
      </c>
      <c r="S213" s="339">
        <f t="shared" si="8"/>
        <v>0</v>
      </c>
      <c r="T213" s="339">
        <f t="shared" si="9"/>
        <v>0</v>
      </c>
      <c r="U213" s="339">
        <f t="shared" si="10"/>
        <v>0</v>
      </c>
      <c r="V213" s="339">
        <f t="shared" si="11"/>
        <v>0</v>
      </c>
      <c r="W213" s="339">
        <f t="shared" si="12"/>
        <v>21067.919999999998</v>
      </c>
      <c r="X213" s="339">
        <f t="shared" si="13"/>
        <v>0</v>
      </c>
      <c r="Y213" s="339">
        <f t="shared" si="14"/>
        <v>0</v>
      </c>
      <c r="Z213" s="162"/>
      <c r="AA213" s="162"/>
      <c r="AB213" s="162"/>
      <c r="AC213" s="162"/>
      <c r="AD213" s="162"/>
    </row>
    <row r="214" spans="1:30">
      <c r="A214" s="838" t="s">
        <v>1517</v>
      </c>
      <c r="B214" s="169" t="s">
        <v>87</v>
      </c>
      <c r="C214" s="169" t="s">
        <v>773</v>
      </c>
      <c r="D214" s="143">
        <f t="shared" si="17"/>
        <v>2088</v>
      </c>
      <c r="E214" s="176">
        <v>1000</v>
      </c>
      <c r="F214" s="1107">
        <v>0.5</v>
      </c>
      <c r="G214" s="176">
        <v>0.25</v>
      </c>
      <c r="H214" s="172">
        <f t="shared" si="18"/>
        <v>21067.919999999998</v>
      </c>
      <c r="I214" s="162"/>
      <c r="J214" s="162"/>
      <c r="K214" s="162"/>
      <c r="L214" s="162"/>
      <c r="M214" s="162"/>
      <c r="N214" s="162"/>
      <c r="O214" s="162"/>
      <c r="P214" s="162"/>
      <c r="Q214" s="339">
        <f t="shared" si="6"/>
        <v>0</v>
      </c>
      <c r="R214" s="339">
        <f t="shared" si="7"/>
        <v>0</v>
      </c>
      <c r="S214" s="339">
        <f t="shared" si="8"/>
        <v>0</v>
      </c>
      <c r="T214" s="339">
        <f t="shared" si="9"/>
        <v>0</v>
      </c>
      <c r="U214" s="339">
        <f t="shared" si="10"/>
        <v>0</v>
      </c>
      <c r="V214" s="339">
        <f t="shared" si="11"/>
        <v>0</v>
      </c>
      <c r="W214" s="339">
        <f t="shared" si="12"/>
        <v>21067.919999999998</v>
      </c>
      <c r="X214" s="339">
        <f t="shared" si="13"/>
        <v>0</v>
      </c>
      <c r="Y214" s="339">
        <f t="shared" si="14"/>
        <v>0</v>
      </c>
      <c r="Z214" s="162"/>
      <c r="AA214" s="162"/>
      <c r="AB214" s="162"/>
      <c r="AC214" s="162"/>
      <c r="AD214" s="162"/>
    </row>
    <row r="215" spans="1:30">
      <c r="A215" s="838" t="s">
        <v>1518</v>
      </c>
      <c r="B215" s="169" t="s">
        <v>87</v>
      </c>
      <c r="C215" s="169" t="s">
        <v>773</v>
      </c>
      <c r="D215" s="143">
        <f t="shared" si="17"/>
        <v>2088</v>
      </c>
      <c r="E215" s="176">
        <v>1000</v>
      </c>
      <c r="F215" s="1107">
        <v>0.5</v>
      </c>
      <c r="G215" s="176">
        <v>0.25</v>
      </c>
      <c r="H215" s="172">
        <f t="shared" si="18"/>
        <v>21067.919999999998</v>
      </c>
      <c r="I215" s="162"/>
      <c r="J215" s="162"/>
      <c r="K215" s="162"/>
      <c r="L215" s="162"/>
      <c r="M215" s="162"/>
      <c r="N215" s="162"/>
      <c r="O215" s="162"/>
      <c r="P215" s="162"/>
      <c r="Q215" s="339">
        <f t="shared" si="6"/>
        <v>0</v>
      </c>
      <c r="R215" s="339">
        <f t="shared" si="7"/>
        <v>0</v>
      </c>
      <c r="S215" s="339">
        <f t="shared" si="8"/>
        <v>0</v>
      </c>
      <c r="T215" s="339">
        <f t="shared" si="9"/>
        <v>0</v>
      </c>
      <c r="U215" s="339">
        <f t="shared" si="10"/>
        <v>0</v>
      </c>
      <c r="V215" s="339">
        <f t="shared" si="11"/>
        <v>0</v>
      </c>
      <c r="W215" s="339">
        <f t="shared" si="12"/>
        <v>21067.919999999998</v>
      </c>
      <c r="X215" s="339">
        <f t="shared" si="13"/>
        <v>0</v>
      </c>
      <c r="Y215" s="339">
        <f t="shared" si="14"/>
        <v>0</v>
      </c>
      <c r="Z215" s="162"/>
      <c r="AA215" s="162"/>
      <c r="AB215" s="162"/>
      <c r="AC215" s="162"/>
      <c r="AD215" s="162"/>
    </row>
    <row r="216" spans="1:30">
      <c r="A216" s="838" t="s">
        <v>1519</v>
      </c>
      <c r="B216" s="169" t="s">
        <v>87</v>
      </c>
      <c r="C216" s="169" t="s">
        <v>773</v>
      </c>
      <c r="D216" s="143">
        <f t="shared" si="17"/>
        <v>2088</v>
      </c>
      <c r="E216" s="176">
        <v>1000</v>
      </c>
      <c r="F216" s="1107">
        <v>0.5</v>
      </c>
      <c r="G216" s="176">
        <v>0.25</v>
      </c>
      <c r="H216" s="172">
        <f t="shared" si="18"/>
        <v>21067.919999999998</v>
      </c>
      <c r="I216" s="162"/>
      <c r="J216" s="162"/>
      <c r="K216" s="162"/>
      <c r="L216" s="162"/>
      <c r="M216" s="162"/>
      <c r="N216" s="162"/>
      <c r="O216" s="162"/>
      <c r="P216" s="162"/>
      <c r="Q216" s="339">
        <f t="shared" si="6"/>
        <v>0</v>
      </c>
      <c r="R216" s="339">
        <f t="shared" si="7"/>
        <v>0</v>
      </c>
      <c r="S216" s="339">
        <f t="shared" si="8"/>
        <v>0</v>
      </c>
      <c r="T216" s="339">
        <f t="shared" si="9"/>
        <v>0</v>
      </c>
      <c r="U216" s="339">
        <f t="shared" si="10"/>
        <v>0</v>
      </c>
      <c r="V216" s="339">
        <f t="shared" si="11"/>
        <v>0</v>
      </c>
      <c r="W216" s="339">
        <f t="shared" si="12"/>
        <v>21067.919999999998</v>
      </c>
      <c r="X216" s="339">
        <f t="shared" si="13"/>
        <v>0</v>
      </c>
      <c r="Y216" s="339">
        <f t="shared" si="14"/>
        <v>0</v>
      </c>
      <c r="Z216" s="162"/>
      <c r="AA216" s="162"/>
      <c r="AB216" s="162"/>
      <c r="AC216" s="162"/>
      <c r="AD216" s="162"/>
    </row>
    <row r="217" spans="1:30">
      <c r="A217" s="838" t="s">
        <v>1520</v>
      </c>
      <c r="B217" s="169" t="s">
        <v>87</v>
      </c>
      <c r="C217" s="169" t="s">
        <v>773</v>
      </c>
      <c r="D217" s="143">
        <f t="shared" si="17"/>
        <v>2088</v>
      </c>
      <c r="E217" s="176">
        <v>1000</v>
      </c>
      <c r="F217" s="1107">
        <v>0.5</v>
      </c>
      <c r="G217" s="176">
        <v>0.25</v>
      </c>
      <c r="H217" s="172">
        <f t="shared" si="18"/>
        <v>21067.919999999998</v>
      </c>
      <c r="I217" s="162"/>
      <c r="J217" s="162"/>
      <c r="K217" s="162"/>
      <c r="L217" s="162"/>
      <c r="M217" s="162"/>
      <c r="N217" s="162"/>
      <c r="O217" s="162"/>
      <c r="P217" s="162"/>
      <c r="Q217" s="339">
        <f t="shared" si="6"/>
        <v>0</v>
      </c>
      <c r="R217" s="339">
        <f t="shared" si="7"/>
        <v>0</v>
      </c>
      <c r="S217" s="339">
        <f t="shared" si="8"/>
        <v>0</v>
      </c>
      <c r="T217" s="339">
        <f t="shared" si="9"/>
        <v>0</v>
      </c>
      <c r="U217" s="339">
        <f t="shared" si="10"/>
        <v>0</v>
      </c>
      <c r="V217" s="339">
        <f t="shared" si="11"/>
        <v>0</v>
      </c>
      <c r="W217" s="339">
        <f t="shared" si="12"/>
        <v>21067.919999999998</v>
      </c>
      <c r="X217" s="339">
        <f t="shared" si="13"/>
        <v>0</v>
      </c>
      <c r="Y217" s="339">
        <f t="shared" si="14"/>
        <v>0</v>
      </c>
      <c r="Z217" s="162"/>
      <c r="AA217" s="162"/>
      <c r="AB217" s="162"/>
      <c r="AC217" s="162"/>
      <c r="AD217" s="162"/>
    </row>
    <row r="218" spans="1:30">
      <c r="A218" s="838" t="s">
        <v>1521</v>
      </c>
      <c r="B218" s="169" t="s">
        <v>87</v>
      </c>
      <c r="C218" s="169" t="s">
        <v>773</v>
      </c>
      <c r="D218" s="143">
        <f t="shared" si="17"/>
        <v>2088</v>
      </c>
      <c r="E218" s="176">
        <v>1000</v>
      </c>
      <c r="F218" s="1107">
        <v>0.5</v>
      </c>
      <c r="G218" s="176">
        <v>0.25</v>
      </c>
      <c r="H218" s="172">
        <f t="shared" si="18"/>
        <v>21067.919999999998</v>
      </c>
      <c r="I218" s="162"/>
      <c r="J218" s="162"/>
      <c r="K218" s="162"/>
      <c r="L218" s="162"/>
      <c r="M218" s="162"/>
      <c r="N218" s="162"/>
      <c r="O218" s="162"/>
      <c r="P218" s="162"/>
      <c r="Q218" s="339">
        <f t="shared" si="6"/>
        <v>0</v>
      </c>
      <c r="R218" s="339">
        <f t="shared" si="7"/>
        <v>0</v>
      </c>
      <c r="S218" s="339">
        <f t="shared" si="8"/>
        <v>0</v>
      </c>
      <c r="T218" s="339">
        <f t="shared" si="9"/>
        <v>0</v>
      </c>
      <c r="U218" s="339">
        <f t="shared" si="10"/>
        <v>0</v>
      </c>
      <c r="V218" s="339">
        <f t="shared" si="11"/>
        <v>0</v>
      </c>
      <c r="W218" s="339">
        <f t="shared" si="12"/>
        <v>21067.919999999998</v>
      </c>
      <c r="X218" s="339">
        <f t="shared" si="13"/>
        <v>0</v>
      </c>
      <c r="Y218" s="339">
        <f t="shared" si="14"/>
        <v>0</v>
      </c>
      <c r="Z218" s="162"/>
      <c r="AA218" s="162"/>
      <c r="AB218" s="162"/>
      <c r="AC218" s="162"/>
      <c r="AD218" s="162"/>
    </row>
    <row r="219" spans="1:30">
      <c r="A219" s="838" t="s">
        <v>1522</v>
      </c>
      <c r="B219" s="169" t="s">
        <v>87</v>
      </c>
      <c r="C219" s="169" t="s">
        <v>773</v>
      </c>
      <c r="D219" s="143">
        <f t="shared" si="17"/>
        <v>2088</v>
      </c>
      <c r="E219" s="176">
        <v>1000</v>
      </c>
      <c r="F219" s="1107">
        <v>0.5</v>
      </c>
      <c r="G219" s="176">
        <v>0.25</v>
      </c>
      <c r="H219" s="172">
        <f t="shared" si="18"/>
        <v>21067.919999999998</v>
      </c>
      <c r="I219" s="162"/>
      <c r="J219" s="162"/>
      <c r="K219" s="162"/>
      <c r="L219" s="162"/>
      <c r="M219" s="162"/>
      <c r="N219" s="162"/>
      <c r="O219" s="162"/>
      <c r="P219" s="162"/>
      <c r="Q219" s="339">
        <f t="shared" si="6"/>
        <v>0</v>
      </c>
      <c r="R219" s="339">
        <f t="shared" si="7"/>
        <v>0</v>
      </c>
      <c r="S219" s="339">
        <f t="shared" si="8"/>
        <v>0</v>
      </c>
      <c r="T219" s="339">
        <f t="shared" si="9"/>
        <v>0</v>
      </c>
      <c r="U219" s="339">
        <f t="shared" si="10"/>
        <v>0</v>
      </c>
      <c r="V219" s="339">
        <f t="shared" si="11"/>
        <v>0</v>
      </c>
      <c r="W219" s="339">
        <f t="shared" si="12"/>
        <v>21067.919999999998</v>
      </c>
      <c r="X219" s="339">
        <f t="shared" si="13"/>
        <v>0</v>
      </c>
      <c r="Y219" s="339">
        <f t="shared" si="14"/>
        <v>0</v>
      </c>
      <c r="Z219" s="162"/>
      <c r="AA219" s="162"/>
      <c r="AB219" s="162"/>
      <c r="AC219" s="162"/>
      <c r="AD219" s="162"/>
    </row>
    <row r="220" spans="1:30">
      <c r="A220" s="838" t="s">
        <v>1523</v>
      </c>
      <c r="B220" s="169" t="s">
        <v>87</v>
      </c>
      <c r="C220" s="169" t="s">
        <v>773</v>
      </c>
      <c r="D220" s="143">
        <f t="shared" si="17"/>
        <v>2088</v>
      </c>
      <c r="E220" s="176">
        <v>1000</v>
      </c>
      <c r="F220" s="1107">
        <v>0.5</v>
      </c>
      <c r="G220" s="176">
        <v>0.25</v>
      </c>
      <c r="H220" s="172">
        <f t="shared" si="18"/>
        <v>21067.919999999998</v>
      </c>
      <c r="I220" s="162"/>
      <c r="J220" s="162"/>
      <c r="K220" s="162"/>
      <c r="L220" s="162"/>
      <c r="M220" s="162"/>
      <c r="N220" s="162"/>
      <c r="O220" s="162"/>
      <c r="P220" s="162"/>
      <c r="Q220" s="339">
        <f t="shared" si="6"/>
        <v>0</v>
      </c>
      <c r="R220" s="339">
        <f t="shared" si="7"/>
        <v>0</v>
      </c>
      <c r="S220" s="339">
        <f t="shared" si="8"/>
        <v>0</v>
      </c>
      <c r="T220" s="339">
        <f t="shared" si="9"/>
        <v>0</v>
      </c>
      <c r="U220" s="339">
        <f t="shared" si="10"/>
        <v>0</v>
      </c>
      <c r="V220" s="339">
        <f t="shared" si="11"/>
        <v>0</v>
      </c>
      <c r="W220" s="339">
        <f t="shared" si="12"/>
        <v>21067.919999999998</v>
      </c>
      <c r="X220" s="339">
        <f t="shared" si="13"/>
        <v>0</v>
      </c>
      <c r="Y220" s="339">
        <f t="shared" si="14"/>
        <v>0</v>
      </c>
      <c r="Z220" s="162"/>
      <c r="AA220" s="162"/>
      <c r="AB220" s="162"/>
      <c r="AC220" s="162"/>
      <c r="AD220" s="162"/>
    </row>
    <row r="221" spans="1:30">
      <c r="A221" s="838" t="s">
        <v>1524</v>
      </c>
      <c r="B221" s="169" t="s">
        <v>87</v>
      </c>
      <c r="C221" s="169" t="s">
        <v>773</v>
      </c>
      <c r="D221" s="143">
        <f t="shared" si="17"/>
        <v>2088</v>
      </c>
      <c r="E221" s="176">
        <v>1000</v>
      </c>
      <c r="F221" s="1107">
        <v>0.5</v>
      </c>
      <c r="G221" s="176">
        <v>0.25</v>
      </c>
      <c r="H221" s="172">
        <f t="shared" si="18"/>
        <v>21067.919999999998</v>
      </c>
      <c r="I221" s="162"/>
      <c r="J221" s="162"/>
      <c r="K221" s="162"/>
      <c r="L221" s="162"/>
      <c r="M221" s="162"/>
      <c r="N221" s="162"/>
      <c r="O221" s="162"/>
      <c r="P221" s="162"/>
      <c r="Q221" s="339">
        <f t="shared" si="6"/>
        <v>0</v>
      </c>
      <c r="R221" s="339">
        <f t="shared" si="7"/>
        <v>0</v>
      </c>
      <c r="S221" s="339">
        <f t="shared" si="8"/>
        <v>0</v>
      </c>
      <c r="T221" s="339">
        <f t="shared" si="9"/>
        <v>0</v>
      </c>
      <c r="U221" s="339">
        <f t="shared" si="10"/>
        <v>0</v>
      </c>
      <c r="V221" s="339">
        <f t="shared" si="11"/>
        <v>0</v>
      </c>
      <c r="W221" s="339">
        <f t="shared" si="12"/>
        <v>21067.919999999998</v>
      </c>
      <c r="X221" s="339">
        <f t="shared" si="13"/>
        <v>0</v>
      </c>
      <c r="Y221" s="339">
        <f t="shared" si="14"/>
        <v>0</v>
      </c>
      <c r="Z221" s="162"/>
      <c r="AA221" s="162"/>
      <c r="AB221" s="162"/>
      <c r="AC221" s="162"/>
      <c r="AD221" s="162"/>
    </row>
    <row r="222" spans="1:30">
      <c r="A222" s="838" t="s">
        <v>1525</v>
      </c>
      <c r="B222" s="169" t="s">
        <v>87</v>
      </c>
      <c r="C222" s="169" t="s">
        <v>773</v>
      </c>
      <c r="D222" s="143">
        <f t="shared" si="17"/>
        <v>2088</v>
      </c>
      <c r="E222" s="176">
        <v>1000</v>
      </c>
      <c r="F222" s="1107">
        <v>0.5</v>
      </c>
      <c r="G222" s="176">
        <v>0.25</v>
      </c>
      <c r="H222" s="172">
        <f t="shared" si="18"/>
        <v>21067.919999999998</v>
      </c>
      <c r="I222" s="162"/>
      <c r="J222" s="162"/>
      <c r="K222" s="162"/>
      <c r="L222" s="162"/>
      <c r="M222" s="162"/>
      <c r="N222" s="162"/>
      <c r="O222" s="162"/>
      <c r="P222" s="162"/>
      <c r="Q222" s="339">
        <f t="shared" si="6"/>
        <v>0</v>
      </c>
      <c r="R222" s="339">
        <f t="shared" si="7"/>
        <v>0</v>
      </c>
      <c r="S222" s="339">
        <f t="shared" si="8"/>
        <v>0</v>
      </c>
      <c r="T222" s="339">
        <f t="shared" si="9"/>
        <v>0</v>
      </c>
      <c r="U222" s="339">
        <f t="shared" si="10"/>
        <v>0</v>
      </c>
      <c r="V222" s="339">
        <f t="shared" si="11"/>
        <v>0</v>
      </c>
      <c r="W222" s="339">
        <f t="shared" si="12"/>
        <v>21067.919999999998</v>
      </c>
      <c r="X222" s="339">
        <f t="shared" si="13"/>
        <v>0</v>
      </c>
      <c r="Y222" s="339">
        <f t="shared" si="14"/>
        <v>0</v>
      </c>
      <c r="Z222" s="162"/>
      <c r="AA222" s="162"/>
      <c r="AB222" s="162"/>
      <c r="AC222" s="162"/>
      <c r="AD222" s="162"/>
    </row>
    <row r="223" spans="1:30">
      <c r="A223" s="838" t="s">
        <v>1526</v>
      </c>
      <c r="B223" s="169" t="s">
        <v>87</v>
      </c>
      <c r="C223" s="169" t="s">
        <v>773</v>
      </c>
      <c r="D223" s="143">
        <f t="shared" si="17"/>
        <v>2088</v>
      </c>
      <c r="E223" s="176">
        <v>1000</v>
      </c>
      <c r="F223" s="1107">
        <v>0.5</v>
      </c>
      <c r="G223" s="176">
        <v>0.25</v>
      </c>
      <c r="H223" s="172">
        <f t="shared" si="18"/>
        <v>21067.919999999998</v>
      </c>
      <c r="I223" s="162"/>
      <c r="J223" s="162"/>
      <c r="K223" s="162"/>
      <c r="L223" s="162"/>
      <c r="M223" s="162"/>
      <c r="N223" s="162"/>
      <c r="O223" s="162"/>
      <c r="P223" s="162"/>
      <c r="Q223" s="339">
        <f t="shared" si="6"/>
        <v>0</v>
      </c>
      <c r="R223" s="339">
        <f t="shared" si="7"/>
        <v>0</v>
      </c>
      <c r="S223" s="339">
        <f t="shared" si="8"/>
        <v>0</v>
      </c>
      <c r="T223" s="339">
        <f t="shared" si="9"/>
        <v>0</v>
      </c>
      <c r="U223" s="339">
        <f t="shared" si="10"/>
        <v>0</v>
      </c>
      <c r="V223" s="339">
        <f t="shared" si="11"/>
        <v>0</v>
      </c>
      <c r="W223" s="339">
        <f t="shared" si="12"/>
        <v>21067.919999999998</v>
      </c>
      <c r="X223" s="339">
        <f t="shared" si="13"/>
        <v>0</v>
      </c>
      <c r="Y223" s="339">
        <f t="shared" si="14"/>
        <v>0</v>
      </c>
      <c r="Z223" s="162"/>
      <c r="AA223" s="162"/>
      <c r="AB223" s="162"/>
      <c r="AC223" s="162"/>
      <c r="AD223" s="162"/>
    </row>
    <row r="224" spans="1:30">
      <c r="A224" s="838" t="s">
        <v>1527</v>
      </c>
      <c r="B224" s="169" t="s">
        <v>87</v>
      </c>
      <c r="C224" s="169" t="s">
        <v>773</v>
      </c>
      <c r="D224" s="143">
        <f t="shared" si="17"/>
        <v>2088</v>
      </c>
      <c r="E224" s="176">
        <v>1000</v>
      </c>
      <c r="F224" s="1107">
        <v>0.5</v>
      </c>
      <c r="G224" s="176">
        <v>0.25</v>
      </c>
      <c r="H224" s="172">
        <f t="shared" si="18"/>
        <v>21067.919999999998</v>
      </c>
      <c r="I224" s="162"/>
      <c r="J224" s="162"/>
      <c r="K224" s="162"/>
      <c r="L224" s="162"/>
      <c r="M224" s="162"/>
      <c r="N224" s="162"/>
      <c r="O224" s="162"/>
      <c r="P224" s="162"/>
      <c r="Q224" s="339">
        <f t="shared" si="6"/>
        <v>0</v>
      </c>
      <c r="R224" s="339">
        <f t="shared" si="7"/>
        <v>0</v>
      </c>
      <c r="S224" s="339">
        <f t="shared" si="8"/>
        <v>0</v>
      </c>
      <c r="T224" s="339">
        <f t="shared" si="9"/>
        <v>0</v>
      </c>
      <c r="U224" s="339">
        <f t="shared" si="10"/>
        <v>0</v>
      </c>
      <c r="V224" s="339">
        <f t="shared" si="11"/>
        <v>0</v>
      </c>
      <c r="W224" s="339">
        <f t="shared" si="12"/>
        <v>21067.919999999998</v>
      </c>
      <c r="X224" s="339">
        <f t="shared" si="13"/>
        <v>0</v>
      </c>
      <c r="Y224" s="339">
        <f t="shared" si="14"/>
        <v>0</v>
      </c>
      <c r="Z224" s="162"/>
      <c r="AA224" s="162"/>
      <c r="AB224" s="162"/>
      <c r="AC224" s="162"/>
      <c r="AD224" s="162"/>
    </row>
    <row r="225" spans="1:30">
      <c r="A225" s="838" t="s">
        <v>1528</v>
      </c>
      <c r="B225" s="169" t="s">
        <v>87</v>
      </c>
      <c r="C225" s="169" t="s">
        <v>773</v>
      </c>
      <c r="D225" s="143">
        <f t="shared" si="17"/>
        <v>2088</v>
      </c>
      <c r="E225" s="176">
        <v>1000</v>
      </c>
      <c r="F225" s="1107">
        <v>0.5</v>
      </c>
      <c r="G225" s="176">
        <v>0.25</v>
      </c>
      <c r="H225" s="172">
        <f t="shared" si="18"/>
        <v>21067.919999999998</v>
      </c>
      <c r="I225" s="162"/>
      <c r="J225" s="162"/>
      <c r="K225" s="162"/>
      <c r="L225" s="162"/>
      <c r="M225" s="162"/>
      <c r="N225" s="162"/>
      <c r="O225" s="162"/>
      <c r="P225" s="162"/>
      <c r="Q225" s="339">
        <f t="shared" si="6"/>
        <v>0</v>
      </c>
      <c r="R225" s="339">
        <f t="shared" si="7"/>
        <v>0</v>
      </c>
      <c r="S225" s="339">
        <f t="shared" si="8"/>
        <v>0</v>
      </c>
      <c r="T225" s="339">
        <f t="shared" si="9"/>
        <v>0</v>
      </c>
      <c r="U225" s="339">
        <f t="shared" si="10"/>
        <v>0</v>
      </c>
      <c r="V225" s="339">
        <f t="shared" si="11"/>
        <v>0</v>
      </c>
      <c r="W225" s="339">
        <f t="shared" si="12"/>
        <v>21067.919999999998</v>
      </c>
      <c r="X225" s="339">
        <f t="shared" si="13"/>
        <v>0</v>
      </c>
      <c r="Y225" s="339">
        <f t="shared" si="14"/>
        <v>0</v>
      </c>
      <c r="Z225" s="162"/>
      <c r="AA225" s="162"/>
      <c r="AB225" s="162"/>
      <c r="AC225" s="162"/>
      <c r="AD225" s="162"/>
    </row>
    <row r="226" spans="1:30">
      <c r="A226" s="838" t="s">
        <v>1529</v>
      </c>
      <c r="B226" s="169" t="s">
        <v>87</v>
      </c>
      <c r="C226" s="169" t="s">
        <v>773</v>
      </c>
      <c r="D226" s="143">
        <f t="shared" si="17"/>
        <v>2088</v>
      </c>
      <c r="E226" s="176">
        <v>1000</v>
      </c>
      <c r="F226" s="1107">
        <v>0.5</v>
      </c>
      <c r="G226" s="176">
        <v>0.25</v>
      </c>
      <c r="H226" s="172">
        <f t="shared" si="18"/>
        <v>21067.919999999998</v>
      </c>
      <c r="I226" s="162"/>
      <c r="J226" s="162"/>
      <c r="K226" s="162"/>
      <c r="L226" s="162"/>
      <c r="M226" s="162"/>
      <c r="N226" s="162"/>
      <c r="O226" s="162"/>
      <c r="P226" s="162"/>
      <c r="Q226" s="339">
        <f t="shared" si="6"/>
        <v>0</v>
      </c>
      <c r="R226" s="339">
        <f t="shared" si="7"/>
        <v>0</v>
      </c>
      <c r="S226" s="339">
        <f t="shared" si="8"/>
        <v>0</v>
      </c>
      <c r="T226" s="339">
        <f t="shared" si="9"/>
        <v>0</v>
      </c>
      <c r="U226" s="339">
        <f t="shared" si="10"/>
        <v>0</v>
      </c>
      <c r="V226" s="339">
        <f t="shared" si="11"/>
        <v>0</v>
      </c>
      <c r="W226" s="339">
        <f t="shared" si="12"/>
        <v>21067.919999999998</v>
      </c>
      <c r="X226" s="339">
        <f t="shared" si="13"/>
        <v>0</v>
      </c>
      <c r="Y226" s="339">
        <f t="shared" si="14"/>
        <v>0</v>
      </c>
      <c r="Z226" s="162"/>
      <c r="AA226" s="162"/>
      <c r="AB226" s="162"/>
      <c r="AC226" s="162"/>
      <c r="AD226" s="162"/>
    </row>
    <row r="227" spans="1:30">
      <c r="A227" s="838" t="s">
        <v>1530</v>
      </c>
      <c r="B227" s="169" t="s">
        <v>87</v>
      </c>
      <c r="C227" s="169" t="s">
        <v>773</v>
      </c>
      <c r="D227" s="143">
        <f t="shared" si="17"/>
        <v>2088</v>
      </c>
      <c r="E227" s="176">
        <v>1000</v>
      </c>
      <c r="F227" s="1107">
        <v>0.5</v>
      </c>
      <c r="G227" s="176">
        <v>0.25</v>
      </c>
      <c r="H227" s="172">
        <f t="shared" si="18"/>
        <v>21067.919999999998</v>
      </c>
      <c r="I227" s="162"/>
      <c r="J227" s="162"/>
      <c r="K227" s="162"/>
      <c r="L227" s="162"/>
      <c r="M227" s="162"/>
      <c r="N227" s="162"/>
      <c r="O227" s="162"/>
      <c r="P227" s="162"/>
      <c r="Q227" s="339">
        <f t="shared" si="6"/>
        <v>0</v>
      </c>
      <c r="R227" s="339">
        <f t="shared" si="7"/>
        <v>0</v>
      </c>
      <c r="S227" s="339">
        <f t="shared" si="8"/>
        <v>0</v>
      </c>
      <c r="T227" s="339">
        <f t="shared" si="9"/>
        <v>0</v>
      </c>
      <c r="U227" s="339">
        <f t="shared" si="10"/>
        <v>0</v>
      </c>
      <c r="V227" s="339">
        <f t="shared" si="11"/>
        <v>0</v>
      </c>
      <c r="W227" s="339">
        <f t="shared" si="12"/>
        <v>21067.919999999998</v>
      </c>
      <c r="X227" s="339">
        <f t="shared" si="13"/>
        <v>0</v>
      </c>
      <c r="Y227" s="339">
        <f t="shared" si="14"/>
        <v>0</v>
      </c>
      <c r="Z227" s="162"/>
      <c r="AA227" s="162"/>
      <c r="AB227" s="162"/>
      <c r="AC227" s="162"/>
      <c r="AD227" s="162"/>
    </row>
    <row r="228" spans="1:30">
      <c r="A228" s="838" t="s">
        <v>1531</v>
      </c>
      <c r="B228" s="169" t="s">
        <v>87</v>
      </c>
      <c r="C228" s="169" t="s">
        <v>773</v>
      </c>
      <c r="D228" s="143">
        <f t="shared" ref="D228:D291" si="19">IF(ISNA(VLOOKUP($C228,GWP,2,FALSE)),"", VLOOKUP($C228,GWP,2,FALSE))</f>
        <v>2088</v>
      </c>
      <c r="E228" s="176">
        <v>1000</v>
      </c>
      <c r="F228" s="1107">
        <v>0.5</v>
      </c>
      <c r="G228" s="176">
        <v>0.25</v>
      </c>
      <c r="H228" s="172">
        <f t="shared" si="18"/>
        <v>21067.919999999998</v>
      </c>
      <c r="I228" s="162"/>
      <c r="J228" s="162"/>
      <c r="K228" s="162"/>
      <c r="L228" s="162"/>
      <c r="M228" s="162"/>
      <c r="N228" s="162"/>
      <c r="O228" s="162"/>
      <c r="P228" s="162"/>
      <c r="Q228" s="339">
        <f t="shared" si="6"/>
        <v>0</v>
      </c>
      <c r="R228" s="339">
        <f t="shared" si="7"/>
        <v>0</v>
      </c>
      <c r="S228" s="339">
        <f t="shared" si="8"/>
        <v>0</v>
      </c>
      <c r="T228" s="339">
        <f t="shared" si="9"/>
        <v>0</v>
      </c>
      <c r="U228" s="339">
        <f t="shared" si="10"/>
        <v>0</v>
      </c>
      <c r="V228" s="339">
        <f t="shared" si="11"/>
        <v>0</v>
      </c>
      <c r="W228" s="339">
        <f t="shared" si="12"/>
        <v>21067.919999999998</v>
      </c>
      <c r="X228" s="339">
        <f t="shared" si="13"/>
        <v>0</v>
      </c>
      <c r="Y228" s="339">
        <f t="shared" si="14"/>
        <v>0</v>
      </c>
      <c r="Z228" s="162"/>
      <c r="AA228" s="162"/>
      <c r="AB228" s="162"/>
      <c r="AC228" s="162"/>
      <c r="AD228" s="162"/>
    </row>
    <row r="229" spans="1:30">
      <c r="A229" s="838" t="s">
        <v>1532</v>
      </c>
      <c r="B229" s="169" t="s">
        <v>87</v>
      </c>
      <c r="C229" s="169" t="s">
        <v>773</v>
      </c>
      <c r="D229" s="143">
        <f t="shared" si="19"/>
        <v>2088</v>
      </c>
      <c r="E229" s="176">
        <v>1000</v>
      </c>
      <c r="F229" s="1107">
        <v>0.5</v>
      </c>
      <c r="G229" s="176">
        <v>0.25</v>
      </c>
      <c r="H229" s="172">
        <f t="shared" si="18"/>
        <v>21067.919999999998</v>
      </c>
      <c r="I229" s="162"/>
      <c r="J229" s="162"/>
      <c r="K229" s="162"/>
      <c r="L229" s="162"/>
      <c r="M229" s="162"/>
      <c r="N229" s="162"/>
      <c r="O229" s="162"/>
      <c r="P229" s="162"/>
      <c r="Q229" s="339">
        <f t="shared" si="6"/>
        <v>0</v>
      </c>
      <c r="R229" s="339">
        <f t="shared" si="7"/>
        <v>0</v>
      </c>
      <c r="S229" s="339">
        <f t="shared" si="8"/>
        <v>0</v>
      </c>
      <c r="T229" s="339">
        <f t="shared" si="9"/>
        <v>0</v>
      </c>
      <c r="U229" s="339">
        <f t="shared" si="10"/>
        <v>0</v>
      </c>
      <c r="V229" s="339">
        <f t="shared" si="11"/>
        <v>0</v>
      </c>
      <c r="W229" s="339">
        <f t="shared" si="12"/>
        <v>21067.919999999998</v>
      </c>
      <c r="X229" s="339">
        <f t="shared" si="13"/>
        <v>0</v>
      </c>
      <c r="Y229" s="339">
        <f t="shared" si="14"/>
        <v>0</v>
      </c>
      <c r="Z229" s="162"/>
      <c r="AA229" s="162"/>
      <c r="AB229" s="162"/>
      <c r="AC229" s="162"/>
      <c r="AD229" s="162"/>
    </row>
    <row r="230" spans="1:30">
      <c r="A230" s="838" t="s">
        <v>1533</v>
      </c>
      <c r="B230" s="169" t="s">
        <v>87</v>
      </c>
      <c r="C230" s="169" t="s">
        <v>773</v>
      </c>
      <c r="D230" s="143">
        <f t="shared" si="19"/>
        <v>2088</v>
      </c>
      <c r="E230" s="176">
        <v>1000</v>
      </c>
      <c r="F230" s="1107">
        <v>0.5</v>
      </c>
      <c r="G230" s="176">
        <v>0.25</v>
      </c>
      <c r="H230" s="172">
        <f t="shared" si="18"/>
        <v>21067.919999999998</v>
      </c>
      <c r="I230" s="162"/>
      <c r="J230" s="162"/>
      <c r="K230" s="162"/>
      <c r="L230" s="162"/>
      <c r="M230" s="162"/>
      <c r="N230" s="162"/>
      <c r="O230" s="162"/>
      <c r="P230" s="162"/>
      <c r="Q230" s="339">
        <f t="shared" si="6"/>
        <v>0</v>
      </c>
      <c r="R230" s="339">
        <f t="shared" si="7"/>
        <v>0</v>
      </c>
      <c r="S230" s="339">
        <f t="shared" si="8"/>
        <v>0</v>
      </c>
      <c r="T230" s="339">
        <f t="shared" si="9"/>
        <v>0</v>
      </c>
      <c r="U230" s="339">
        <f t="shared" si="10"/>
        <v>0</v>
      </c>
      <c r="V230" s="339">
        <f t="shared" si="11"/>
        <v>0</v>
      </c>
      <c r="W230" s="339">
        <f t="shared" si="12"/>
        <v>21067.919999999998</v>
      </c>
      <c r="X230" s="339">
        <f t="shared" si="13"/>
        <v>0</v>
      </c>
      <c r="Y230" s="339">
        <f t="shared" si="14"/>
        <v>0</v>
      </c>
      <c r="Z230" s="162"/>
      <c r="AA230" s="162"/>
      <c r="AB230" s="162"/>
      <c r="AC230" s="162"/>
      <c r="AD230" s="162"/>
    </row>
    <row r="231" spans="1:30">
      <c r="A231" s="838" t="s">
        <v>1534</v>
      </c>
      <c r="B231" s="169" t="s">
        <v>87</v>
      </c>
      <c r="C231" s="169" t="s">
        <v>773</v>
      </c>
      <c r="D231" s="143">
        <f t="shared" si="19"/>
        <v>2088</v>
      </c>
      <c r="E231" s="176">
        <v>1000</v>
      </c>
      <c r="F231" s="1107">
        <v>0.5</v>
      </c>
      <c r="G231" s="176">
        <v>0.25</v>
      </c>
      <c r="H231" s="172">
        <f t="shared" ref="H231:H294" si="20">IF($D231="","",SUM($Q231:$Y231))</f>
        <v>21067.919999999998</v>
      </c>
      <c r="I231" s="162"/>
      <c r="J231" s="162"/>
      <c r="K231" s="162"/>
      <c r="L231" s="162"/>
      <c r="M231" s="162"/>
      <c r="N231" s="162"/>
      <c r="O231" s="162"/>
      <c r="P231" s="162"/>
      <c r="Q231" s="339">
        <f t="shared" si="6"/>
        <v>0</v>
      </c>
      <c r="R231" s="339">
        <f t="shared" si="7"/>
        <v>0</v>
      </c>
      <c r="S231" s="339">
        <f t="shared" si="8"/>
        <v>0</v>
      </c>
      <c r="T231" s="339">
        <f t="shared" si="9"/>
        <v>0</v>
      </c>
      <c r="U231" s="339">
        <f t="shared" si="10"/>
        <v>0</v>
      </c>
      <c r="V231" s="339">
        <f t="shared" si="11"/>
        <v>0</v>
      </c>
      <c r="W231" s="339">
        <f t="shared" si="12"/>
        <v>21067.919999999998</v>
      </c>
      <c r="X231" s="339">
        <f t="shared" si="13"/>
        <v>0</v>
      </c>
      <c r="Y231" s="339">
        <f t="shared" si="14"/>
        <v>0</v>
      </c>
      <c r="Z231" s="162"/>
      <c r="AA231" s="162"/>
      <c r="AB231" s="162"/>
      <c r="AC231" s="162"/>
      <c r="AD231" s="162"/>
    </row>
    <row r="232" spans="1:30">
      <c r="A232" s="838" t="s">
        <v>1535</v>
      </c>
      <c r="B232" s="169" t="s">
        <v>87</v>
      </c>
      <c r="C232" s="169" t="s">
        <v>773</v>
      </c>
      <c r="D232" s="143">
        <f t="shared" si="19"/>
        <v>2088</v>
      </c>
      <c r="E232" s="176">
        <v>1000</v>
      </c>
      <c r="F232" s="1107">
        <v>0.5</v>
      </c>
      <c r="G232" s="176">
        <v>0.25</v>
      </c>
      <c r="H232" s="172">
        <f t="shared" si="20"/>
        <v>21067.919999999998</v>
      </c>
      <c r="I232" s="162"/>
      <c r="J232" s="162"/>
      <c r="K232" s="162"/>
      <c r="L232" s="162"/>
      <c r="M232" s="162"/>
      <c r="N232" s="162"/>
      <c r="O232" s="162"/>
      <c r="P232" s="162"/>
      <c r="Q232" s="339">
        <f t="shared" si="6"/>
        <v>0</v>
      </c>
      <c r="R232" s="339">
        <f t="shared" si="7"/>
        <v>0</v>
      </c>
      <c r="S232" s="339">
        <f t="shared" si="8"/>
        <v>0</v>
      </c>
      <c r="T232" s="339">
        <f t="shared" si="9"/>
        <v>0</v>
      </c>
      <c r="U232" s="339">
        <f t="shared" si="10"/>
        <v>0</v>
      </c>
      <c r="V232" s="339">
        <f t="shared" si="11"/>
        <v>0</v>
      </c>
      <c r="W232" s="339">
        <f t="shared" si="12"/>
        <v>21067.919999999998</v>
      </c>
      <c r="X232" s="339">
        <f t="shared" si="13"/>
        <v>0</v>
      </c>
      <c r="Y232" s="339">
        <f t="shared" si="14"/>
        <v>0</v>
      </c>
      <c r="Z232" s="162"/>
      <c r="AA232" s="162"/>
      <c r="AB232" s="162"/>
      <c r="AC232" s="162"/>
      <c r="AD232" s="162"/>
    </row>
    <row r="233" spans="1:30">
      <c r="A233" s="838" t="s">
        <v>1536</v>
      </c>
      <c r="B233" s="169" t="s">
        <v>87</v>
      </c>
      <c r="C233" s="169" t="s">
        <v>773</v>
      </c>
      <c r="D233" s="143">
        <f t="shared" si="19"/>
        <v>2088</v>
      </c>
      <c r="E233" s="176">
        <v>1000</v>
      </c>
      <c r="F233" s="1107">
        <v>0.5</v>
      </c>
      <c r="G233" s="176">
        <v>0.25</v>
      </c>
      <c r="H233" s="172">
        <f t="shared" si="20"/>
        <v>21067.919999999998</v>
      </c>
      <c r="I233" s="162"/>
      <c r="J233" s="162"/>
      <c r="K233" s="162"/>
      <c r="L233" s="162"/>
      <c r="M233" s="162"/>
      <c r="N233" s="162"/>
      <c r="O233" s="162"/>
      <c r="P233" s="162"/>
      <c r="Q233" s="339">
        <f t="shared" si="6"/>
        <v>0</v>
      </c>
      <c r="R233" s="339">
        <f t="shared" si="7"/>
        <v>0</v>
      </c>
      <c r="S233" s="339">
        <f t="shared" si="8"/>
        <v>0</v>
      </c>
      <c r="T233" s="339">
        <f t="shared" si="9"/>
        <v>0</v>
      </c>
      <c r="U233" s="339">
        <f t="shared" si="10"/>
        <v>0</v>
      </c>
      <c r="V233" s="339">
        <f t="shared" si="11"/>
        <v>0</v>
      </c>
      <c r="W233" s="339">
        <f t="shared" si="12"/>
        <v>21067.919999999998</v>
      </c>
      <c r="X233" s="339">
        <f t="shared" si="13"/>
        <v>0</v>
      </c>
      <c r="Y233" s="339">
        <f t="shared" si="14"/>
        <v>0</v>
      </c>
      <c r="Z233" s="162"/>
      <c r="AA233" s="162"/>
      <c r="AB233" s="162"/>
      <c r="AC233" s="162"/>
      <c r="AD233" s="162"/>
    </row>
    <row r="234" spans="1:30">
      <c r="A234" s="838" t="s">
        <v>1537</v>
      </c>
      <c r="B234" s="169" t="s">
        <v>87</v>
      </c>
      <c r="C234" s="169" t="s">
        <v>773</v>
      </c>
      <c r="D234" s="143">
        <f t="shared" si="19"/>
        <v>2088</v>
      </c>
      <c r="E234" s="176">
        <v>1000</v>
      </c>
      <c r="F234" s="1107">
        <v>0.5</v>
      </c>
      <c r="G234" s="176">
        <v>0.25</v>
      </c>
      <c r="H234" s="172">
        <f t="shared" si="20"/>
        <v>21067.919999999998</v>
      </c>
      <c r="I234" s="162"/>
      <c r="J234" s="162"/>
      <c r="K234" s="162"/>
      <c r="L234" s="162"/>
      <c r="M234" s="162"/>
      <c r="N234" s="162"/>
      <c r="O234" s="162"/>
      <c r="P234" s="162"/>
      <c r="Q234" s="339">
        <f t="shared" si="6"/>
        <v>0</v>
      </c>
      <c r="R234" s="339">
        <f t="shared" si="7"/>
        <v>0</v>
      </c>
      <c r="S234" s="339">
        <f t="shared" si="8"/>
        <v>0</v>
      </c>
      <c r="T234" s="339">
        <f t="shared" si="9"/>
        <v>0</v>
      </c>
      <c r="U234" s="339">
        <f t="shared" si="10"/>
        <v>0</v>
      </c>
      <c r="V234" s="339">
        <f t="shared" si="11"/>
        <v>0</v>
      </c>
      <c r="W234" s="339">
        <f t="shared" si="12"/>
        <v>21067.919999999998</v>
      </c>
      <c r="X234" s="339">
        <f t="shared" si="13"/>
        <v>0</v>
      </c>
      <c r="Y234" s="339">
        <f t="shared" si="14"/>
        <v>0</v>
      </c>
      <c r="Z234" s="162"/>
      <c r="AA234" s="162"/>
      <c r="AB234" s="162"/>
      <c r="AC234" s="162"/>
      <c r="AD234" s="162"/>
    </row>
    <row r="235" spans="1:30">
      <c r="A235" s="838" t="s">
        <v>1538</v>
      </c>
      <c r="B235" s="169" t="s">
        <v>87</v>
      </c>
      <c r="C235" s="169" t="s">
        <v>773</v>
      </c>
      <c r="D235" s="143">
        <f t="shared" si="19"/>
        <v>2088</v>
      </c>
      <c r="E235" s="176">
        <v>1000</v>
      </c>
      <c r="F235" s="1107">
        <v>0.5</v>
      </c>
      <c r="G235" s="176">
        <v>0.25</v>
      </c>
      <c r="H235" s="172">
        <f t="shared" si="20"/>
        <v>21067.919999999998</v>
      </c>
      <c r="I235" s="162"/>
      <c r="J235" s="162"/>
      <c r="K235" s="162"/>
      <c r="L235" s="162"/>
      <c r="M235" s="162"/>
      <c r="N235" s="162"/>
      <c r="O235" s="162"/>
      <c r="P235" s="162"/>
      <c r="Q235" s="339">
        <f t="shared" si="6"/>
        <v>0</v>
      </c>
      <c r="R235" s="339">
        <f t="shared" si="7"/>
        <v>0</v>
      </c>
      <c r="S235" s="339">
        <f t="shared" si="8"/>
        <v>0</v>
      </c>
      <c r="T235" s="339">
        <f t="shared" si="9"/>
        <v>0</v>
      </c>
      <c r="U235" s="339">
        <f t="shared" si="10"/>
        <v>0</v>
      </c>
      <c r="V235" s="339">
        <f t="shared" si="11"/>
        <v>0</v>
      </c>
      <c r="W235" s="339">
        <f t="shared" si="12"/>
        <v>21067.919999999998</v>
      </c>
      <c r="X235" s="339">
        <f t="shared" si="13"/>
        <v>0</v>
      </c>
      <c r="Y235" s="339">
        <f t="shared" si="14"/>
        <v>0</v>
      </c>
      <c r="Z235" s="162"/>
      <c r="AA235" s="162"/>
      <c r="AB235" s="162"/>
      <c r="AC235" s="162"/>
      <c r="AD235" s="162"/>
    </row>
    <row r="236" spans="1:30">
      <c r="A236" s="838" t="s">
        <v>1539</v>
      </c>
      <c r="B236" s="169" t="s">
        <v>87</v>
      </c>
      <c r="C236" s="169" t="s">
        <v>773</v>
      </c>
      <c r="D236" s="143">
        <f t="shared" si="19"/>
        <v>2088</v>
      </c>
      <c r="E236" s="176">
        <v>1000</v>
      </c>
      <c r="F236" s="1107">
        <v>0.5</v>
      </c>
      <c r="G236" s="176">
        <v>0.25</v>
      </c>
      <c r="H236" s="172">
        <f t="shared" si="20"/>
        <v>21067.919999999998</v>
      </c>
      <c r="I236" s="162"/>
      <c r="J236" s="162"/>
      <c r="K236" s="162"/>
      <c r="L236" s="162"/>
      <c r="M236" s="162"/>
      <c r="N236" s="162"/>
      <c r="O236" s="162"/>
      <c r="P236" s="162"/>
      <c r="Q236" s="339">
        <f t="shared" si="6"/>
        <v>0</v>
      </c>
      <c r="R236" s="339">
        <f t="shared" si="7"/>
        <v>0</v>
      </c>
      <c r="S236" s="339">
        <f t="shared" si="8"/>
        <v>0</v>
      </c>
      <c r="T236" s="339">
        <f t="shared" si="9"/>
        <v>0</v>
      </c>
      <c r="U236" s="339">
        <f t="shared" si="10"/>
        <v>0</v>
      </c>
      <c r="V236" s="339">
        <f t="shared" si="11"/>
        <v>0</v>
      </c>
      <c r="W236" s="339">
        <f t="shared" si="12"/>
        <v>21067.919999999998</v>
      </c>
      <c r="X236" s="339">
        <f t="shared" si="13"/>
        <v>0</v>
      </c>
      <c r="Y236" s="339">
        <f t="shared" si="14"/>
        <v>0</v>
      </c>
      <c r="Z236" s="162"/>
      <c r="AA236" s="162"/>
      <c r="AB236" s="162"/>
      <c r="AC236" s="162"/>
      <c r="AD236" s="162"/>
    </row>
    <row r="237" spans="1:30">
      <c r="A237" s="838" t="s">
        <v>1540</v>
      </c>
      <c r="B237" s="169" t="s">
        <v>87</v>
      </c>
      <c r="C237" s="169" t="s">
        <v>773</v>
      </c>
      <c r="D237" s="143">
        <f t="shared" si="19"/>
        <v>2088</v>
      </c>
      <c r="E237" s="176">
        <v>1000</v>
      </c>
      <c r="F237" s="1107">
        <v>0.5</v>
      </c>
      <c r="G237" s="176">
        <v>0.25</v>
      </c>
      <c r="H237" s="172">
        <f t="shared" si="20"/>
        <v>21067.919999999998</v>
      </c>
      <c r="I237" s="162"/>
      <c r="J237" s="162"/>
      <c r="K237" s="162"/>
      <c r="L237" s="162"/>
      <c r="M237" s="162"/>
      <c r="N237" s="162"/>
      <c r="O237" s="162"/>
      <c r="P237" s="162"/>
      <c r="Q237" s="339">
        <f t="shared" si="6"/>
        <v>0</v>
      </c>
      <c r="R237" s="339">
        <f t="shared" si="7"/>
        <v>0</v>
      </c>
      <c r="S237" s="339">
        <f t="shared" si="8"/>
        <v>0</v>
      </c>
      <c r="T237" s="339">
        <f t="shared" si="9"/>
        <v>0</v>
      </c>
      <c r="U237" s="339">
        <f t="shared" si="10"/>
        <v>0</v>
      </c>
      <c r="V237" s="339">
        <f t="shared" si="11"/>
        <v>0</v>
      </c>
      <c r="W237" s="339">
        <f t="shared" si="12"/>
        <v>21067.919999999998</v>
      </c>
      <c r="X237" s="339">
        <f t="shared" si="13"/>
        <v>0</v>
      </c>
      <c r="Y237" s="339">
        <f t="shared" si="14"/>
        <v>0</v>
      </c>
      <c r="Z237" s="162"/>
      <c r="AA237" s="162"/>
      <c r="AB237" s="162"/>
      <c r="AC237" s="162"/>
      <c r="AD237" s="162"/>
    </row>
    <row r="238" spans="1:30">
      <c r="A238" s="838" t="s">
        <v>1541</v>
      </c>
      <c r="B238" s="169" t="s">
        <v>87</v>
      </c>
      <c r="C238" s="169" t="s">
        <v>773</v>
      </c>
      <c r="D238" s="143">
        <f t="shared" si="19"/>
        <v>2088</v>
      </c>
      <c r="E238" s="176">
        <v>1000</v>
      </c>
      <c r="F238" s="1107">
        <v>0.5</v>
      </c>
      <c r="G238" s="176">
        <v>0.25</v>
      </c>
      <c r="H238" s="172">
        <f t="shared" si="20"/>
        <v>21067.919999999998</v>
      </c>
      <c r="I238" s="162"/>
      <c r="J238" s="162"/>
      <c r="K238" s="162"/>
      <c r="L238" s="162"/>
      <c r="M238" s="162"/>
      <c r="N238" s="162"/>
      <c r="O238" s="162"/>
      <c r="P238" s="162"/>
      <c r="Q238" s="339">
        <f t="shared" si="6"/>
        <v>0</v>
      </c>
      <c r="R238" s="339">
        <f t="shared" si="7"/>
        <v>0</v>
      </c>
      <c r="S238" s="339">
        <f t="shared" si="8"/>
        <v>0</v>
      </c>
      <c r="T238" s="339">
        <f t="shared" si="9"/>
        <v>0</v>
      </c>
      <c r="U238" s="339">
        <f t="shared" si="10"/>
        <v>0</v>
      </c>
      <c r="V238" s="339">
        <f t="shared" si="11"/>
        <v>0</v>
      </c>
      <c r="W238" s="339">
        <f t="shared" si="12"/>
        <v>21067.919999999998</v>
      </c>
      <c r="X238" s="339">
        <f t="shared" si="13"/>
        <v>0</v>
      </c>
      <c r="Y238" s="339">
        <f t="shared" si="14"/>
        <v>0</v>
      </c>
      <c r="Z238" s="162"/>
      <c r="AA238" s="162"/>
      <c r="AB238" s="162"/>
      <c r="AC238" s="162"/>
      <c r="AD238" s="162"/>
    </row>
    <row r="239" spans="1:30">
      <c r="A239" s="838" t="s">
        <v>1542</v>
      </c>
      <c r="B239" s="169" t="s">
        <v>87</v>
      </c>
      <c r="C239" s="169" t="s">
        <v>773</v>
      </c>
      <c r="D239" s="143">
        <f t="shared" si="19"/>
        <v>2088</v>
      </c>
      <c r="E239" s="176">
        <v>1000</v>
      </c>
      <c r="F239" s="1107">
        <v>0.5</v>
      </c>
      <c r="G239" s="176">
        <v>0.25</v>
      </c>
      <c r="H239" s="172">
        <f t="shared" si="20"/>
        <v>21067.919999999998</v>
      </c>
      <c r="I239" s="162"/>
      <c r="J239" s="162"/>
      <c r="K239" s="162"/>
      <c r="L239" s="162"/>
      <c r="M239" s="162"/>
      <c r="N239" s="162"/>
      <c r="O239" s="162"/>
      <c r="P239" s="162"/>
      <c r="Q239" s="339">
        <f t="shared" si="6"/>
        <v>0</v>
      </c>
      <c r="R239" s="339">
        <f t="shared" si="7"/>
        <v>0</v>
      </c>
      <c r="S239" s="339">
        <f t="shared" si="8"/>
        <v>0</v>
      </c>
      <c r="T239" s="339">
        <f t="shared" si="9"/>
        <v>0</v>
      </c>
      <c r="U239" s="339">
        <f t="shared" si="10"/>
        <v>0</v>
      </c>
      <c r="V239" s="339">
        <f t="shared" si="11"/>
        <v>0</v>
      </c>
      <c r="W239" s="339">
        <f t="shared" si="12"/>
        <v>21067.919999999998</v>
      </c>
      <c r="X239" s="339">
        <f t="shared" si="13"/>
        <v>0</v>
      </c>
      <c r="Y239" s="339">
        <f t="shared" si="14"/>
        <v>0</v>
      </c>
      <c r="Z239" s="162"/>
      <c r="AA239" s="162"/>
      <c r="AB239" s="162"/>
      <c r="AC239" s="162"/>
      <c r="AD239" s="162"/>
    </row>
    <row r="240" spans="1:30">
      <c r="A240" s="838" t="s">
        <v>1543</v>
      </c>
      <c r="B240" s="169" t="s">
        <v>87</v>
      </c>
      <c r="C240" s="169" t="s">
        <v>773</v>
      </c>
      <c r="D240" s="143">
        <f t="shared" si="19"/>
        <v>2088</v>
      </c>
      <c r="E240" s="176">
        <v>1000</v>
      </c>
      <c r="F240" s="1107">
        <v>0.5</v>
      </c>
      <c r="G240" s="176">
        <v>0.25</v>
      </c>
      <c r="H240" s="172">
        <f t="shared" si="20"/>
        <v>21067.919999999998</v>
      </c>
      <c r="I240" s="162"/>
      <c r="J240" s="162"/>
      <c r="K240" s="162"/>
      <c r="L240" s="162"/>
      <c r="M240" s="162"/>
      <c r="N240" s="162"/>
      <c r="O240" s="162"/>
      <c r="P240" s="162"/>
      <c r="Q240" s="339">
        <f t="shared" si="6"/>
        <v>0</v>
      </c>
      <c r="R240" s="339">
        <f t="shared" si="7"/>
        <v>0</v>
      </c>
      <c r="S240" s="339">
        <f t="shared" si="8"/>
        <v>0</v>
      </c>
      <c r="T240" s="339">
        <f t="shared" si="9"/>
        <v>0</v>
      </c>
      <c r="U240" s="339">
        <f t="shared" si="10"/>
        <v>0</v>
      </c>
      <c r="V240" s="339">
        <f t="shared" si="11"/>
        <v>0</v>
      </c>
      <c r="W240" s="339">
        <f t="shared" si="12"/>
        <v>21067.919999999998</v>
      </c>
      <c r="X240" s="339">
        <f t="shared" si="13"/>
        <v>0</v>
      </c>
      <c r="Y240" s="339">
        <f t="shared" si="14"/>
        <v>0</v>
      </c>
      <c r="Z240" s="162"/>
      <c r="AA240" s="162"/>
      <c r="AB240" s="162"/>
      <c r="AC240" s="162"/>
      <c r="AD240" s="162"/>
    </row>
    <row r="241" spans="1:30">
      <c r="A241" s="838" t="s">
        <v>1544</v>
      </c>
      <c r="B241" s="169" t="s">
        <v>87</v>
      </c>
      <c r="C241" s="169" t="s">
        <v>773</v>
      </c>
      <c r="D241" s="143">
        <f t="shared" si="19"/>
        <v>2088</v>
      </c>
      <c r="E241" s="176">
        <v>1000</v>
      </c>
      <c r="F241" s="1107">
        <v>0.5</v>
      </c>
      <c r="G241" s="176">
        <v>0.25</v>
      </c>
      <c r="H241" s="172">
        <f t="shared" si="20"/>
        <v>21067.919999999998</v>
      </c>
      <c r="I241" s="162"/>
      <c r="J241" s="162"/>
      <c r="K241" s="162"/>
      <c r="L241" s="162"/>
      <c r="M241" s="162"/>
      <c r="N241" s="162"/>
      <c r="O241" s="162"/>
      <c r="P241" s="162"/>
      <c r="Q241" s="339">
        <f t="shared" si="6"/>
        <v>0</v>
      </c>
      <c r="R241" s="339">
        <f t="shared" si="7"/>
        <v>0</v>
      </c>
      <c r="S241" s="339">
        <f t="shared" si="8"/>
        <v>0</v>
      </c>
      <c r="T241" s="339">
        <f t="shared" si="9"/>
        <v>0</v>
      </c>
      <c r="U241" s="339">
        <f t="shared" si="10"/>
        <v>0</v>
      </c>
      <c r="V241" s="339">
        <f t="shared" si="11"/>
        <v>0</v>
      </c>
      <c r="W241" s="339">
        <f t="shared" si="12"/>
        <v>21067.919999999998</v>
      </c>
      <c r="X241" s="339">
        <f t="shared" si="13"/>
        <v>0</v>
      </c>
      <c r="Y241" s="339">
        <f t="shared" si="14"/>
        <v>0</v>
      </c>
      <c r="Z241" s="162"/>
      <c r="AA241" s="162"/>
      <c r="AB241" s="162"/>
      <c r="AC241" s="162"/>
      <c r="AD241" s="162"/>
    </row>
    <row r="242" spans="1:30">
      <c r="A242" s="838" t="s">
        <v>1545</v>
      </c>
      <c r="B242" s="169" t="s">
        <v>87</v>
      </c>
      <c r="C242" s="169" t="s">
        <v>773</v>
      </c>
      <c r="D242" s="143">
        <f t="shared" si="19"/>
        <v>2088</v>
      </c>
      <c r="E242" s="176">
        <v>1000</v>
      </c>
      <c r="F242" s="1107">
        <v>0.5</v>
      </c>
      <c r="G242" s="176">
        <v>0.25</v>
      </c>
      <c r="H242" s="172">
        <f t="shared" si="20"/>
        <v>21067.919999999998</v>
      </c>
      <c r="I242" s="162"/>
      <c r="J242" s="162"/>
      <c r="K242" s="162"/>
      <c r="L242" s="162"/>
      <c r="M242" s="162"/>
      <c r="N242" s="162"/>
      <c r="O242" s="162"/>
      <c r="P242" s="162"/>
      <c r="Q242" s="339">
        <f t="shared" si="6"/>
        <v>0</v>
      </c>
      <c r="R242" s="339">
        <f t="shared" si="7"/>
        <v>0</v>
      </c>
      <c r="S242" s="339">
        <f t="shared" si="8"/>
        <v>0</v>
      </c>
      <c r="T242" s="339">
        <f t="shared" si="9"/>
        <v>0</v>
      </c>
      <c r="U242" s="339">
        <f t="shared" si="10"/>
        <v>0</v>
      </c>
      <c r="V242" s="339">
        <f t="shared" si="11"/>
        <v>0</v>
      </c>
      <c r="W242" s="339">
        <f t="shared" si="12"/>
        <v>21067.919999999998</v>
      </c>
      <c r="X242" s="339">
        <f t="shared" si="13"/>
        <v>0</v>
      </c>
      <c r="Y242" s="339">
        <f t="shared" si="14"/>
        <v>0</v>
      </c>
      <c r="Z242" s="162"/>
      <c r="AA242" s="162"/>
      <c r="AB242" s="162"/>
      <c r="AC242" s="162"/>
      <c r="AD242" s="162"/>
    </row>
    <row r="243" spans="1:30">
      <c r="A243" s="838" t="s">
        <v>1546</v>
      </c>
      <c r="B243" s="169" t="s">
        <v>87</v>
      </c>
      <c r="C243" s="169" t="s">
        <v>773</v>
      </c>
      <c r="D243" s="143">
        <f t="shared" si="19"/>
        <v>2088</v>
      </c>
      <c r="E243" s="176">
        <v>1000</v>
      </c>
      <c r="F243" s="1107">
        <v>0.5</v>
      </c>
      <c r="G243" s="176">
        <v>0.25</v>
      </c>
      <c r="H243" s="172">
        <f t="shared" si="20"/>
        <v>21067.919999999998</v>
      </c>
      <c r="I243" s="162"/>
      <c r="J243" s="162"/>
      <c r="K243" s="162"/>
      <c r="L243" s="162"/>
      <c r="M243" s="162"/>
      <c r="N243" s="162"/>
      <c r="O243" s="162"/>
      <c r="P243" s="162"/>
      <c r="Q243" s="339">
        <f t="shared" si="6"/>
        <v>0</v>
      </c>
      <c r="R243" s="339">
        <f t="shared" si="7"/>
        <v>0</v>
      </c>
      <c r="S243" s="339">
        <f t="shared" si="8"/>
        <v>0</v>
      </c>
      <c r="T243" s="339">
        <f t="shared" si="9"/>
        <v>0</v>
      </c>
      <c r="U243" s="339">
        <f t="shared" si="10"/>
        <v>0</v>
      </c>
      <c r="V243" s="339">
        <f t="shared" si="11"/>
        <v>0</v>
      </c>
      <c r="W243" s="339">
        <f t="shared" si="12"/>
        <v>21067.919999999998</v>
      </c>
      <c r="X243" s="339">
        <f t="shared" si="13"/>
        <v>0</v>
      </c>
      <c r="Y243" s="339">
        <f t="shared" si="14"/>
        <v>0</v>
      </c>
      <c r="Z243" s="162"/>
      <c r="AA243" s="162"/>
      <c r="AB243" s="162"/>
      <c r="AC243" s="162"/>
      <c r="AD243" s="162"/>
    </row>
    <row r="244" spans="1:30">
      <c r="A244" s="838" t="s">
        <v>1547</v>
      </c>
      <c r="B244" s="169" t="s">
        <v>87</v>
      </c>
      <c r="C244" s="169" t="s">
        <v>773</v>
      </c>
      <c r="D244" s="143">
        <f t="shared" si="19"/>
        <v>2088</v>
      </c>
      <c r="E244" s="176">
        <v>1000</v>
      </c>
      <c r="F244" s="1107">
        <v>0.5</v>
      </c>
      <c r="G244" s="176">
        <v>0.25</v>
      </c>
      <c r="H244" s="172">
        <f t="shared" si="20"/>
        <v>21067.919999999998</v>
      </c>
      <c r="I244" s="162"/>
      <c r="J244" s="162"/>
      <c r="K244" s="162"/>
      <c r="L244" s="162"/>
      <c r="M244" s="162"/>
      <c r="N244" s="162"/>
      <c r="O244" s="162"/>
      <c r="P244" s="162"/>
      <c r="Q244" s="339">
        <f t="shared" si="6"/>
        <v>0</v>
      </c>
      <c r="R244" s="339">
        <f t="shared" si="7"/>
        <v>0</v>
      </c>
      <c r="S244" s="339">
        <f t="shared" si="8"/>
        <v>0</v>
      </c>
      <c r="T244" s="339">
        <f t="shared" si="9"/>
        <v>0</v>
      </c>
      <c r="U244" s="339">
        <f t="shared" si="10"/>
        <v>0</v>
      </c>
      <c r="V244" s="339">
        <f t="shared" si="11"/>
        <v>0</v>
      </c>
      <c r="W244" s="339">
        <f t="shared" si="12"/>
        <v>21067.919999999998</v>
      </c>
      <c r="X244" s="339">
        <f t="shared" si="13"/>
        <v>0</v>
      </c>
      <c r="Y244" s="339">
        <f t="shared" si="14"/>
        <v>0</v>
      </c>
      <c r="Z244" s="162"/>
      <c r="AA244" s="162"/>
      <c r="AB244" s="162"/>
      <c r="AC244" s="162"/>
      <c r="AD244" s="162"/>
    </row>
    <row r="245" spans="1:30">
      <c r="A245" s="838" t="s">
        <v>1548</v>
      </c>
      <c r="B245" s="169" t="s">
        <v>87</v>
      </c>
      <c r="C245" s="169" t="s">
        <v>773</v>
      </c>
      <c r="D245" s="143">
        <f t="shared" si="19"/>
        <v>2088</v>
      </c>
      <c r="E245" s="176">
        <v>1000</v>
      </c>
      <c r="F245" s="1107">
        <v>0.5</v>
      </c>
      <c r="G245" s="176">
        <v>0.25</v>
      </c>
      <c r="H245" s="172">
        <f t="shared" si="20"/>
        <v>21067.919999999998</v>
      </c>
      <c r="I245" s="162"/>
      <c r="J245" s="162"/>
      <c r="K245" s="162"/>
      <c r="L245" s="162"/>
      <c r="M245" s="162"/>
      <c r="N245" s="162"/>
      <c r="O245" s="162"/>
      <c r="P245" s="162"/>
      <c r="Q245" s="339">
        <f t="shared" si="6"/>
        <v>0</v>
      </c>
      <c r="R245" s="339">
        <f t="shared" si="7"/>
        <v>0</v>
      </c>
      <c r="S245" s="339">
        <f t="shared" si="8"/>
        <v>0</v>
      </c>
      <c r="T245" s="339">
        <f t="shared" si="9"/>
        <v>0</v>
      </c>
      <c r="U245" s="339">
        <f t="shared" si="10"/>
        <v>0</v>
      </c>
      <c r="V245" s="339">
        <f t="shared" si="11"/>
        <v>0</v>
      </c>
      <c r="W245" s="339">
        <f t="shared" si="12"/>
        <v>21067.919999999998</v>
      </c>
      <c r="X245" s="339">
        <f t="shared" si="13"/>
        <v>0</v>
      </c>
      <c r="Y245" s="339">
        <f t="shared" si="14"/>
        <v>0</v>
      </c>
      <c r="Z245" s="162"/>
      <c r="AA245" s="162"/>
      <c r="AB245" s="162"/>
      <c r="AC245" s="162"/>
      <c r="AD245" s="162"/>
    </row>
    <row r="246" spans="1:30">
      <c r="A246" s="838" t="s">
        <v>1549</v>
      </c>
      <c r="B246" s="169" t="s">
        <v>87</v>
      </c>
      <c r="C246" s="169" t="s">
        <v>773</v>
      </c>
      <c r="D246" s="143">
        <f t="shared" si="19"/>
        <v>2088</v>
      </c>
      <c r="E246" s="176">
        <v>1000</v>
      </c>
      <c r="F246" s="1107">
        <v>0.5</v>
      </c>
      <c r="G246" s="176">
        <v>0.25</v>
      </c>
      <c r="H246" s="172">
        <f t="shared" si="20"/>
        <v>21067.919999999998</v>
      </c>
      <c r="I246" s="162"/>
      <c r="J246" s="162"/>
      <c r="K246" s="162"/>
      <c r="L246" s="162"/>
      <c r="M246" s="162"/>
      <c r="N246" s="162"/>
      <c r="O246" s="162"/>
      <c r="P246" s="162"/>
      <c r="Q246" s="339">
        <f t="shared" si="6"/>
        <v>0</v>
      </c>
      <c r="R246" s="339">
        <f t="shared" si="7"/>
        <v>0</v>
      </c>
      <c r="S246" s="339">
        <f t="shared" si="8"/>
        <v>0</v>
      </c>
      <c r="T246" s="339">
        <f t="shared" si="9"/>
        <v>0</v>
      </c>
      <c r="U246" s="339">
        <f t="shared" si="10"/>
        <v>0</v>
      </c>
      <c r="V246" s="339">
        <f t="shared" si="11"/>
        <v>0</v>
      </c>
      <c r="W246" s="339">
        <f t="shared" si="12"/>
        <v>21067.919999999998</v>
      </c>
      <c r="X246" s="339">
        <f t="shared" si="13"/>
        <v>0</v>
      </c>
      <c r="Y246" s="339">
        <f t="shared" si="14"/>
        <v>0</v>
      </c>
      <c r="Z246" s="162"/>
      <c r="AA246" s="162"/>
      <c r="AB246" s="162"/>
      <c r="AC246" s="162"/>
      <c r="AD246" s="162"/>
    </row>
    <row r="247" spans="1:30">
      <c r="A247" s="838" t="s">
        <v>1550</v>
      </c>
      <c r="B247" s="169" t="s">
        <v>87</v>
      </c>
      <c r="C247" s="169" t="s">
        <v>773</v>
      </c>
      <c r="D247" s="143">
        <f t="shared" si="19"/>
        <v>2088</v>
      </c>
      <c r="E247" s="176">
        <v>1000</v>
      </c>
      <c r="F247" s="1107">
        <v>0.5</v>
      </c>
      <c r="G247" s="176">
        <v>0.25</v>
      </c>
      <c r="H247" s="172">
        <f t="shared" si="20"/>
        <v>21067.919999999998</v>
      </c>
      <c r="I247" s="162"/>
      <c r="J247" s="162"/>
      <c r="K247" s="162"/>
      <c r="L247" s="162"/>
      <c r="M247" s="162"/>
      <c r="N247" s="162"/>
      <c r="O247" s="162"/>
      <c r="P247" s="162"/>
      <c r="Q247" s="339">
        <f t="shared" si="6"/>
        <v>0</v>
      </c>
      <c r="R247" s="339">
        <f t="shared" si="7"/>
        <v>0</v>
      </c>
      <c r="S247" s="339">
        <f t="shared" si="8"/>
        <v>0</v>
      </c>
      <c r="T247" s="339">
        <f t="shared" si="9"/>
        <v>0</v>
      </c>
      <c r="U247" s="339">
        <f t="shared" si="10"/>
        <v>0</v>
      </c>
      <c r="V247" s="339">
        <f t="shared" si="11"/>
        <v>0</v>
      </c>
      <c r="W247" s="339">
        <f t="shared" si="12"/>
        <v>21067.919999999998</v>
      </c>
      <c r="X247" s="339">
        <f t="shared" si="13"/>
        <v>0</v>
      </c>
      <c r="Y247" s="339">
        <f t="shared" si="14"/>
        <v>0</v>
      </c>
      <c r="Z247" s="162"/>
      <c r="AA247" s="162"/>
      <c r="AB247" s="162"/>
      <c r="AC247" s="162"/>
      <c r="AD247" s="162"/>
    </row>
    <row r="248" spans="1:30">
      <c r="A248" s="838" t="s">
        <v>1551</v>
      </c>
      <c r="B248" s="169" t="s">
        <v>87</v>
      </c>
      <c r="C248" s="169" t="s">
        <v>773</v>
      </c>
      <c r="D248" s="143">
        <f t="shared" si="19"/>
        <v>2088</v>
      </c>
      <c r="E248" s="176">
        <v>1000</v>
      </c>
      <c r="F248" s="1107">
        <v>0.5</v>
      </c>
      <c r="G248" s="176">
        <v>0.25</v>
      </c>
      <c r="H248" s="172">
        <f t="shared" si="20"/>
        <v>21067.919999999998</v>
      </c>
      <c r="I248" s="162"/>
      <c r="J248" s="162"/>
      <c r="K248" s="162"/>
      <c r="L248" s="162"/>
      <c r="M248" s="162"/>
      <c r="N248" s="162"/>
      <c r="O248" s="162"/>
      <c r="P248" s="162"/>
      <c r="Q248" s="339">
        <f t="shared" si="6"/>
        <v>0</v>
      </c>
      <c r="R248" s="339">
        <f t="shared" si="7"/>
        <v>0</v>
      </c>
      <c r="S248" s="339">
        <f t="shared" si="8"/>
        <v>0</v>
      </c>
      <c r="T248" s="339">
        <f t="shared" si="9"/>
        <v>0</v>
      </c>
      <c r="U248" s="339">
        <f t="shared" si="10"/>
        <v>0</v>
      </c>
      <c r="V248" s="339">
        <f t="shared" si="11"/>
        <v>0</v>
      </c>
      <c r="W248" s="339">
        <f t="shared" si="12"/>
        <v>21067.919999999998</v>
      </c>
      <c r="X248" s="339">
        <f t="shared" si="13"/>
        <v>0</v>
      </c>
      <c r="Y248" s="339">
        <f t="shared" si="14"/>
        <v>0</v>
      </c>
      <c r="Z248" s="162"/>
      <c r="AA248" s="162"/>
      <c r="AB248" s="162"/>
      <c r="AC248" s="162"/>
      <c r="AD248" s="162"/>
    </row>
    <row r="249" spans="1:30">
      <c r="A249" s="838" t="s">
        <v>1552</v>
      </c>
      <c r="B249" s="169" t="s">
        <v>87</v>
      </c>
      <c r="C249" s="169" t="s">
        <v>773</v>
      </c>
      <c r="D249" s="143">
        <f t="shared" si="19"/>
        <v>2088</v>
      </c>
      <c r="E249" s="176">
        <v>1000</v>
      </c>
      <c r="F249" s="1107">
        <v>0.5</v>
      </c>
      <c r="G249" s="176">
        <v>0.25</v>
      </c>
      <c r="H249" s="172">
        <f t="shared" si="20"/>
        <v>21067.919999999998</v>
      </c>
      <c r="I249" s="162"/>
      <c r="J249" s="162"/>
      <c r="K249" s="162"/>
      <c r="L249" s="162"/>
      <c r="M249" s="162"/>
      <c r="N249" s="162"/>
      <c r="O249" s="162"/>
      <c r="P249" s="162"/>
      <c r="Q249" s="339">
        <f t="shared" si="6"/>
        <v>0</v>
      </c>
      <c r="R249" s="339">
        <f t="shared" si="7"/>
        <v>0</v>
      </c>
      <c r="S249" s="339">
        <f t="shared" si="8"/>
        <v>0</v>
      </c>
      <c r="T249" s="339">
        <f t="shared" si="9"/>
        <v>0</v>
      </c>
      <c r="U249" s="339">
        <f t="shared" si="10"/>
        <v>0</v>
      </c>
      <c r="V249" s="339">
        <f t="shared" si="11"/>
        <v>0</v>
      </c>
      <c r="W249" s="339">
        <f t="shared" si="12"/>
        <v>21067.919999999998</v>
      </c>
      <c r="X249" s="339">
        <f t="shared" si="13"/>
        <v>0</v>
      </c>
      <c r="Y249" s="339">
        <f t="shared" si="14"/>
        <v>0</v>
      </c>
      <c r="Z249" s="162"/>
      <c r="AA249" s="162"/>
      <c r="AB249" s="162"/>
      <c r="AC249" s="162"/>
      <c r="AD249" s="162"/>
    </row>
    <row r="250" spans="1:30">
      <c r="A250" s="838" t="s">
        <v>1553</v>
      </c>
      <c r="B250" s="169" t="s">
        <v>87</v>
      </c>
      <c r="C250" s="169" t="s">
        <v>773</v>
      </c>
      <c r="D250" s="143">
        <f t="shared" si="19"/>
        <v>2088</v>
      </c>
      <c r="E250" s="176">
        <v>1000</v>
      </c>
      <c r="F250" s="1107">
        <v>0.5</v>
      </c>
      <c r="G250" s="176">
        <v>0.25</v>
      </c>
      <c r="H250" s="172">
        <f t="shared" si="20"/>
        <v>21067.919999999998</v>
      </c>
      <c r="I250" s="162"/>
      <c r="J250" s="162"/>
      <c r="K250" s="162"/>
      <c r="L250" s="162"/>
      <c r="M250" s="162"/>
      <c r="N250" s="162"/>
      <c r="O250" s="162"/>
      <c r="P250" s="162"/>
      <c r="Q250" s="339">
        <f t="shared" si="6"/>
        <v>0</v>
      </c>
      <c r="R250" s="339">
        <f t="shared" si="7"/>
        <v>0</v>
      </c>
      <c r="S250" s="339">
        <f t="shared" si="8"/>
        <v>0</v>
      </c>
      <c r="T250" s="339">
        <f t="shared" si="9"/>
        <v>0</v>
      </c>
      <c r="U250" s="339">
        <f t="shared" si="10"/>
        <v>0</v>
      </c>
      <c r="V250" s="339">
        <f t="shared" si="11"/>
        <v>0</v>
      </c>
      <c r="W250" s="339">
        <f t="shared" si="12"/>
        <v>21067.919999999998</v>
      </c>
      <c r="X250" s="339">
        <f t="shared" si="13"/>
        <v>0</v>
      </c>
      <c r="Y250" s="339">
        <f t="shared" si="14"/>
        <v>0</v>
      </c>
      <c r="Z250" s="162"/>
      <c r="AA250" s="162"/>
      <c r="AB250" s="162"/>
      <c r="AC250" s="162"/>
      <c r="AD250" s="162"/>
    </row>
    <row r="251" spans="1:30">
      <c r="A251" s="838" t="s">
        <v>1554</v>
      </c>
      <c r="B251" s="169" t="s">
        <v>87</v>
      </c>
      <c r="C251" s="169" t="s">
        <v>773</v>
      </c>
      <c r="D251" s="143">
        <f t="shared" si="19"/>
        <v>2088</v>
      </c>
      <c r="E251" s="176">
        <v>1000</v>
      </c>
      <c r="F251" s="1107">
        <v>0.5</v>
      </c>
      <c r="G251" s="176">
        <v>0.25</v>
      </c>
      <c r="H251" s="172">
        <f t="shared" si="20"/>
        <v>21067.919999999998</v>
      </c>
      <c r="I251" s="162"/>
      <c r="J251" s="162"/>
      <c r="K251" s="162"/>
      <c r="L251" s="162"/>
      <c r="M251" s="162"/>
      <c r="N251" s="162"/>
      <c r="O251" s="162"/>
      <c r="P251" s="162"/>
      <c r="Q251" s="339">
        <f t="shared" si="6"/>
        <v>0</v>
      </c>
      <c r="R251" s="339">
        <f t="shared" si="7"/>
        <v>0</v>
      </c>
      <c r="S251" s="339">
        <f t="shared" si="8"/>
        <v>0</v>
      </c>
      <c r="T251" s="339">
        <f t="shared" si="9"/>
        <v>0</v>
      </c>
      <c r="U251" s="339">
        <f t="shared" si="10"/>
        <v>0</v>
      </c>
      <c r="V251" s="339">
        <f t="shared" si="11"/>
        <v>0</v>
      </c>
      <c r="W251" s="339">
        <f t="shared" si="12"/>
        <v>21067.919999999998</v>
      </c>
      <c r="X251" s="339">
        <f t="shared" si="13"/>
        <v>0</v>
      </c>
      <c r="Y251" s="339">
        <f t="shared" si="14"/>
        <v>0</v>
      </c>
      <c r="Z251" s="162"/>
      <c r="AA251" s="162"/>
      <c r="AB251" s="162"/>
      <c r="AC251" s="162"/>
      <c r="AD251" s="162"/>
    </row>
    <row r="252" spans="1:30">
      <c r="A252" s="838" t="s">
        <v>1555</v>
      </c>
      <c r="B252" s="169" t="s">
        <v>87</v>
      </c>
      <c r="C252" s="169" t="s">
        <v>773</v>
      </c>
      <c r="D252" s="143">
        <f t="shared" si="19"/>
        <v>2088</v>
      </c>
      <c r="E252" s="176">
        <v>1000</v>
      </c>
      <c r="F252" s="1107">
        <v>0.5</v>
      </c>
      <c r="G252" s="176">
        <v>0.25</v>
      </c>
      <c r="H252" s="172">
        <f t="shared" si="20"/>
        <v>21067.919999999998</v>
      </c>
      <c r="I252" s="162"/>
      <c r="J252" s="162"/>
      <c r="K252" s="162"/>
      <c r="L252" s="162"/>
      <c r="M252" s="162"/>
      <c r="N252" s="162"/>
      <c r="O252" s="162"/>
      <c r="P252" s="162"/>
      <c r="Q252" s="339">
        <f t="shared" si="6"/>
        <v>0</v>
      </c>
      <c r="R252" s="339">
        <f t="shared" si="7"/>
        <v>0</v>
      </c>
      <c r="S252" s="339">
        <f t="shared" si="8"/>
        <v>0</v>
      </c>
      <c r="T252" s="339">
        <f t="shared" si="9"/>
        <v>0</v>
      </c>
      <c r="U252" s="339">
        <f t="shared" si="10"/>
        <v>0</v>
      </c>
      <c r="V252" s="339">
        <f t="shared" si="11"/>
        <v>0</v>
      </c>
      <c r="W252" s="339">
        <f t="shared" si="12"/>
        <v>21067.919999999998</v>
      </c>
      <c r="X252" s="339">
        <f t="shared" si="13"/>
        <v>0</v>
      </c>
      <c r="Y252" s="339">
        <f t="shared" si="14"/>
        <v>0</v>
      </c>
      <c r="Z252" s="162"/>
      <c r="AA252" s="162"/>
      <c r="AB252" s="162"/>
      <c r="AC252" s="162"/>
      <c r="AD252" s="162"/>
    </row>
    <row r="253" spans="1:30">
      <c r="A253" s="838" t="s">
        <v>1556</v>
      </c>
      <c r="B253" s="169" t="s">
        <v>87</v>
      </c>
      <c r="C253" s="169" t="s">
        <v>773</v>
      </c>
      <c r="D253" s="143">
        <f t="shared" si="19"/>
        <v>2088</v>
      </c>
      <c r="E253" s="176">
        <v>1000</v>
      </c>
      <c r="F253" s="1107">
        <v>0.5</v>
      </c>
      <c r="G253" s="176">
        <v>0.25</v>
      </c>
      <c r="H253" s="172">
        <f t="shared" si="20"/>
        <v>21067.919999999998</v>
      </c>
      <c r="I253" s="162"/>
      <c r="J253" s="162"/>
      <c r="K253" s="162"/>
      <c r="L253" s="162"/>
      <c r="M253" s="162"/>
      <c r="N253" s="162"/>
      <c r="O253" s="162"/>
      <c r="P253" s="162"/>
      <c r="Q253" s="339">
        <f t="shared" si="6"/>
        <v>0</v>
      </c>
      <c r="R253" s="339">
        <f t="shared" si="7"/>
        <v>0</v>
      </c>
      <c r="S253" s="339">
        <f t="shared" si="8"/>
        <v>0</v>
      </c>
      <c r="T253" s="339">
        <f t="shared" si="9"/>
        <v>0</v>
      </c>
      <c r="U253" s="339">
        <f t="shared" si="10"/>
        <v>0</v>
      </c>
      <c r="V253" s="339">
        <f t="shared" si="11"/>
        <v>0</v>
      </c>
      <c r="W253" s="339">
        <f t="shared" si="12"/>
        <v>21067.919999999998</v>
      </c>
      <c r="X253" s="339">
        <f t="shared" si="13"/>
        <v>0</v>
      </c>
      <c r="Y253" s="339">
        <f t="shared" si="14"/>
        <v>0</v>
      </c>
      <c r="Z253" s="162"/>
      <c r="AA253" s="162"/>
      <c r="AB253" s="162"/>
      <c r="AC253" s="162"/>
      <c r="AD253" s="162"/>
    </row>
    <row r="254" spans="1:30">
      <c r="A254" s="838" t="s">
        <v>1557</v>
      </c>
      <c r="B254" s="169" t="s">
        <v>87</v>
      </c>
      <c r="C254" s="169" t="s">
        <v>773</v>
      </c>
      <c r="D254" s="143">
        <f t="shared" si="19"/>
        <v>2088</v>
      </c>
      <c r="E254" s="176">
        <v>1000</v>
      </c>
      <c r="F254" s="1107">
        <v>0.5</v>
      </c>
      <c r="G254" s="176">
        <v>0.25</v>
      </c>
      <c r="H254" s="172">
        <f t="shared" si="20"/>
        <v>21067.919999999998</v>
      </c>
      <c r="I254" s="162"/>
      <c r="J254" s="162"/>
      <c r="K254" s="162"/>
      <c r="L254" s="162"/>
      <c r="M254" s="162"/>
      <c r="N254" s="162"/>
      <c r="O254" s="162"/>
      <c r="P254" s="162"/>
      <c r="Q254" s="339">
        <f t="shared" si="6"/>
        <v>0</v>
      </c>
      <c r="R254" s="339">
        <f t="shared" si="7"/>
        <v>0</v>
      </c>
      <c r="S254" s="339">
        <f t="shared" si="8"/>
        <v>0</v>
      </c>
      <c r="T254" s="339">
        <f t="shared" si="9"/>
        <v>0</v>
      </c>
      <c r="U254" s="339">
        <f t="shared" si="10"/>
        <v>0</v>
      </c>
      <c r="V254" s="339">
        <f t="shared" si="11"/>
        <v>0</v>
      </c>
      <c r="W254" s="339">
        <f t="shared" si="12"/>
        <v>21067.919999999998</v>
      </c>
      <c r="X254" s="339">
        <f t="shared" si="13"/>
        <v>0</v>
      </c>
      <c r="Y254" s="339">
        <f t="shared" si="14"/>
        <v>0</v>
      </c>
      <c r="Z254" s="162"/>
      <c r="AA254" s="162"/>
      <c r="AB254" s="162"/>
      <c r="AC254" s="162"/>
      <c r="AD254" s="162"/>
    </row>
    <row r="255" spans="1:30">
      <c r="A255" s="838" t="s">
        <v>1558</v>
      </c>
      <c r="B255" s="169" t="s">
        <v>87</v>
      </c>
      <c r="C255" s="169" t="s">
        <v>773</v>
      </c>
      <c r="D255" s="143">
        <f t="shared" si="19"/>
        <v>2088</v>
      </c>
      <c r="E255" s="176">
        <v>1000</v>
      </c>
      <c r="F255" s="1107">
        <v>0.5</v>
      </c>
      <c r="G255" s="176">
        <v>0.25</v>
      </c>
      <c r="H255" s="172">
        <f t="shared" si="20"/>
        <v>21067.919999999998</v>
      </c>
      <c r="I255" s="162"/>
      <c r="J255" s="162"/>
      <c r="K255" s="162"/>
      <c r="L255" s="162"/>
      <c r="M255" s="162"/>
      <c r="N255" s="162"/>
      <c r="O255" s="162"/>
      <c r="P255" s="162"/>
      <c r="Q255" s="339">
        <f t="shared" si="6"/>
        <v>0</v>
      </c>
      <c r="R255" s="339">
        <f t="shared" si="7"/>
        <v>0</v>
      </c>
      <c r="S255" s="339">
        <f t="shared" si="8"/>
        <v>0</v>
      </c>
      <c r="T255" s="339">
        <f t="shared" si="9"/>
        <v>0</v>
      </c>
      <c r="U255" s="339">
        <f t="shared" si="10"/>
        <v>0</v>
      </c>
      <c r="V255" s="339">
        <f t="shared" si="11"/>
        <v>0</v>
      </c>
      <c r="W255" s="339">
        <f t="shared" si="12"/>
        <v>21067.919999999998</v>
      </c>
      <c r="X255" s="339">
        <f t="shared" si="13"/>
        <v>0</v>
      </c>
      <c r="Y255" s="339">
        <f t="shared" si="14"/>
        <v>0</v>
      </c>
      <c r="Z255" s="162"/>
      <c r="AA255" s="162"/>
      <c r="AB255" s="162"/>
      <c r="AC255" s="162"/>
      <c r="AD255" s="162"/>
    </row>
    <row r="256" spans="1:30">
      <c r="A256" s="838" t="s">
        <v>1559</v>
      </c>
      <c r="B256" s="169" t="s">
        <v>87</v>
      </c>
      <c r="C256" s="169" t="s">
        <v>773</v>
      </c>
      <c r="D256" s="143">
        <f t="shared" si="19"/>
        <v>2088</v>
      </c>
      <c r="E256" s="176">
        <v>1000</v>
      </c>
      <c r="F256" s="1107">
        <v>0.5</v>
      </c>
      <c r="G256" s="176">
        <v>0.25</v>
      </c>
      <c r="H256" s="172">
        <f t="shared" si="20"/>
        <v>21067.919999999998</v>
      </c>
      <c r="I256" s="162"/>
      <c r="J256" s="162"/>
      <c r="K256" s="162"/>
      <c r="L256" s="162"/>
      <c r="M256" s="162"/>
      <c r="N256" s="162"/>
      <c r="O256" s="162"/>
      <c r="P256" s="162"/>
      <c r="Q256" s="339">
        <f t="shared" si="6"/>
        <v>0</v>
      </c>
      <c r="R256" s="339">
        <f t="shared" si="7"/>
        <v>0</v>
      </c>
      <c r="S256" s="339">
        <f t="shared" si="8"/>
        <v>0</v>
      </c>
      <c r="T256" s="339">
        <f t="shared" si="9"/>
        <v>0</v>
      </c>
      <c r="U256" s="339">
        <f t="shared" si="10"/>
        <v>0</v>
      </c>
      <c r="V256" s="339">
        <f t="shared" si="11"/>
        <v>0</v>
      </c>
      <c r="W256" s="339">
        <f t="shared" si="12"/>
        <v>21067.919999999998</v>
      </c>
      <c r="X256" s="339">
        <f t="shared" si="13"/>
        <v>0</v>
      </c>
      <c r="Y256" s="339">
        <f t="shared" si="14"/>
        <v>0</v>
      </c>
      <c r="Z256" s="162"/>
      <c r="AA256" s="162"/>
      <c r="AB256" s="162"/>
      <c r="AC256" s="162"/>
      <c r="AD256" s="162"/>
    </row>
    <row r="257" spans="1:30">
      <c r="A257" s="838" t="s">
        <v>1560</v>
      </c>
      <c r="B257" s="169" t="s">
        <v>87</v>
      </c>
      <c r="C257" s="169" t="s">
        <v>773</v>
      </c>
      <c r="D257" s="143">
        <f t="shared" si="19"/>
        <v>2088</v>
      </c>
      <c r="E257" s="176">
        <v>1000</v>
      </c>
      <c r="F257" s="1107">
        <v>0.5</v>
      </c>
      <c r="G257" s="176">
        <v>0.25</v>
      </c>
      <c r="H257" s="172">
        <f t="shared" si="20"/>
        <v>21067.919999999998</v>
      </c>
      <c r="I257" s="162"/>
      <c r="J257" s="162"/>
      <c r="K257" s="162"/>
      <c r="L257" s="162"/>
      <c r="M257" s="162"/>
      <c r="N257" s="162"/>
      <c r="O257" s="162"/>
      <c r="P257" s="162"/>
      <c r="Q257" s="339">
        <f t="shared" si="6"/>
        <v>0</v>
      </c>
      <c r="R257" s="339">
        <f t="shared" si="7"/>
        <v>0</v>
      </c>
      <c r="S257" s="339">
        <f t="shared" si="8"/>
        <v>0</v>
      </c>
      <c r="T257" s="339">
        <f t="shared" si="9"/>
        <v>0</v>
      </c>
      <c r="U257" s="339">
        <f t="shared" si="10"/>
        <v>0</v>
      </c>
      <c r="V257" s="339">
        <f t="shared" si="11"/>
        <v>0</v>
      </c>
      <c r="W257" s="339">
        <f t="shared" si="12"/>
        <v>21067.919999999998</v>
      </c>
      <c r="X257" s="339">
        <f t="shared" si="13"/>
        <v>0</v>
      </c>
      <c r="Y257" s="339">
        <f t="shared" si="14"/>
        <v>0</v>
      </c>
      <c r="Z257" s="162"/>
      <c r="AA257" s="162"/>
      <c r="AB257" s="162"/>
      <c r="AC257" s="162"/>
      <c r="AD257" s="162"/>
    </row>
    <row r="258" spans="1:30">
      <c r="A258" s="838" t="s">
        <v>1561</v>
      </c>
      <c r="B258" s="169" t="s">
        <v>87</v>
      </c>
      <c r="C258" s="169" t="s">
        <v>773</v>
      </c>
      <c r="D258" s="143">
        <f t="shared" si="19"/>
        <v>2088</v>
      </c>
      <c r="E258" s="176">
        <v>1000</v>
      </c>
      <c r="F258" s="1107">
        <v>0.5</v>
      </c>
      <c r="G258" s="176">
        <v>0.25</v>
      </c>
      <c r="H258" s="172">
        <f t="shared" si="20"/>
        <v>21067.919999999998</v>
      </c>
      <c r="I258" s="162"/>
      <c r="J258" s="162"/>
      <c r="K258" s="162"/>
      <c r="L258" s="162"/>
      <c r="M258" s="162"/>
      <c r="N258" s="162"/>
      <c r="O258" s="162"/>
      <c r="P258" s="162"/>
      <c r="Q258" s="339">
        <f t="shared" si="6"/>
        <v>0</v>
      </c>
      <c r="R258" s="339">
        <f t="shared" si="7"/>
        <v>0</v>
      </c>
      <c r="S258" s="339">
        <f t="shared" si="8"/>
        <v>0</v>
      </c>
      <c r="T258" s="339">
        <f t="shared" si="9"/>
        <v>0</v>
      </c>
      <c r="U258" s="339">
        <f t="shared" si="10"/>
        <v>0</v>
      </c>
      <c r="V258" s="339">
        <f t="shared" si="11"/>
        <v>0</v>
      </c>
      <c r="W258" s="339">
        <f t="shared" si="12"/>
        <v>21067.919999999998</v>
      </c>
      <c r="X258" s="339">
        <f t="shared" si="13"/>
        <v>0</v>
      </c>
      <c r="Y258" s="339">
        <f t="shared" si="14"/>
        <v>0</v>
      </c>
      <c r="Z258" s="162"/>
      <c r="AA258" s="162"/>
      <c r="AB258" s="162"/>
      <c r="AC258" s="162"/>
      <c r="AD258" s="162"/>
    </row>
    <row r="259" spans="1:30">
      <c r="A259" s="838" t="s">
        <v>1562</v>
      </c>
      <c r="B259" s="169" t="s">
        <v>87</v>
      </c>
      <c r="C259" s="169" t="s">
        <v>773</v>
      </c>
      <c r="D259" s="143">
        <f t="shared" si="19"/>
        <v>2088</v>
      </c>
      <c r="E259" s="176">
        <v>1000</v>
      </c>
      <c r="F259" s="1107">
        <v>0.5</v>
      </c>
      <c r="G259" s="176">
        <v>0.25</v>
      </c>
      <c r="H259" s="172">
        <f t="shared" si="20"/>
        <v>21067.919999999998</v>
      </c>
      <c r="I259" s="162"/>
      <c r="J259" s="162"/>
      <c r="K259" s="162"/>
      <c r="L259" s="162"/>
      <c r="M259" s="162"/>
      <c r="N259" s="162"/>
      <c r="O259" s="162"/>
      <c r="P259" s="162"/>
      <c r="Q259" s="339">
        <f t="shared" si="6"/>
        <v>0</v>
      </c>
      <c r="R259" s="339">
        <f t="shared" si="7"/>
        <v>0</v>
      </c>
      <c r="S259" s="339">
        <f t="shared" si="8"/>
        <v>0</v>
      </c>
      <c r="T259" s="339">
        <f t="shared" si="9"/>
        <v>0</v>
      </c>
      <c r="U259" s="339">
        <f t="shared" si="10"/>
        <v>0</v>
      </c>
      <c r="V259" s="339">
        <f t="shared" si="11"/>
        <v>0</v>
      </c>
      <c r="W259" s="339">
        <f t="shared" si="12"/>
        <v>21067.919999999998</v>
      </c>
      <c r="X259" s="339">
        <f t="shared" si="13"/>
        <v>0</v>
      </c>
      <c r="Y259" s="339">
        <f t="shared" si="14"/>
        <v>0</v>
      </c>
      <c r="Z259" s="162"/>
      <c r="AA259" s="162"/>
      <c r="AB259" s="162"/>
      <c r="AC259" s="162"/>
      <c r="AD259" s="162"/>
    </row>
    <row r="260" spans="1:30">
      <c r="A260" s="838" t="s">
        <v>1563</v>
      </c>
      <c r="B260" s="169" t="s">
        <v>87</v>
      </c>
      <c r="C260" s="169" t="s">
        <v>773</v>
      </c>
      <c r="D260" s="143">
        <f t="shared" si="19"/>
        <v>2088</v>
      </c>
      <c r="E260" s="176">
        <v>1000</v>
      </c>
      <c r="F260" s="1107">
        <v>0.5</v>
      </c>
      <c r="G260" s="176">
        <v>0.25</v>
      </c>
      <c r="H260" s="172">
        <f t="shared" si="20"/>
        <v>21067.919999999998</v>
      </c>
      <c r="I260" s="162"/>
      <c r="J260" s="162"/>
      <c r="K260" s="162"/>
      <c r="L260" s="162"/>
      <c r="M260" s="162"/>
      <c r="N260" s="162"/>
      <c r="O260" s="162"/>
      <c r="P260" s="162"/>
      <c r="Q260" s="339">
        <f t="shared" si="6"/>
        <v>0</v>
      </c>
      <c r="R260" s="339">
        <f t="shared" si="7"/>
        <v>0</v>
      </c>
      <c r="S260" s="339">
        <f t="shared" si="8"/>
        <v>0</v>
      </c>
      <c r="T260" s="339">
        <f t="shared" si="9"/>
        <v>0</v>
      </c>
      <c r="U260" s="339">
        <f t="shared" si="10"/>
        <v>0</v>
      </c>
      <c r="V260" s="339">
        <f t="shared" si="11"/>
        <v>0</v>
      </c>
      <c r="W260" s="339">
        <f t="shared" si="12"/>
        <v>21067.919999999998</v>
      </c>
      <c r="X260" s="339">
        <f t="shared" si="13"/>
        <v>0</v>
      </c>
      <c r="Y260" s="339">
        <f t="shared" si="14"/>
        <v>0</v>
      </c>
      <c r="Z260" s="162"/>
      <c r="AA260" s="162"/>
      <c r="AB260" s="162"/>
      <c r="AC260" s="162"/>
      <c r="AD260" s="162"/>
    </row>
    <row r="261" spans="1:30">
      <c r="A261" s="838" t="s">
        <v>1564</v>
      </c>
      <c r="B261" s="169" t="s">
        <v>87</v>
      </c>
      <c r="C261" s="169" t="s">
        <v>773</v>
      </c>
      <c r="D261" s="143">
        <f t="shared" si="19"/>
        <v>2088</v>
      </c>
      <c r="E261" s="176">
        <v>1000</v>
      </c>
      <c r="F261" s="1107">
        <v>0.5</v>
      </c>
      <c r="G261" s="176">
        <v>0.25</v>
      </c>
      <c r="H261" s="172">
        <f t="shared" si="20"/>
        <v>21067.919999999998</v>
      </c>
      <c r="I261" s="162"/>
      <c r="J261" s="162"/>
      <c r="K261" s="162"/>
      <c r="L261" s="162"/>
      <c r="M261" s="162"/>
      <c r="N261" s="162"/>
      <c r="O261" s="162"/>
      <c r="P261" s="162"/>
      <c r="Q261" s="339">
        <f t="shared" si="6"/>
        <v>0</v>
      </c>
      <c r="R261" s="339">
        <f t="shared" si="7"/>
        <v>0</v>
      </c>
      <c r="S261" s="339">
        <f t="shared" si="8"/>
        <v>0</v>
      </c>
      <c r="T261" s="339">
        <f t="shared" si="9"/>
        <v>0</v>
      </c>
      <c r="U261" s="339">
        <f t="shared" si="10"/>
        <v>0</v>
      </c>
      <c r="V261" s="339">
        <f t="shared" si="11"/>
        <v>0</v>
      </c>
      <c r="W261" s="339">
        <f t="shared" si="12"/>
        <v>21067.919999999998</v>
      </c>
      <c r="X261" s="339">
        <f t="shared" si="13"/>
        <v>0</v>
      </c>
      <c r="Y261" s="339">
        <f t="shared" si="14"/>
        <v>0</v>
      </c>
      <c r="Z261" s="162"/>
      <c r="AA261" s="162"/>
      <c r="AB261" s="162"/>
      <c r="AC261" s="162"/>
      <c r="AD261" s="162"/>
    </row>
    <row r="262" spans="1:30">
      <c r="A262" s="838" t="s">
        <v>1565</v>
      </c>
      <c r="B262" s="169" t="s">
        <v>87</v>
      </c>
      <c r="C262" s="169" t="s">
        <v>773</v>
      </c>
      <c r="D262" s="143">
        <f t="shared" si="19"/>
        <v>2088</v>
      </c>
      <c r="E262" s="176">
        <v>1000</v>
      </c>
      <c r="F262" s="1107">
        <v>0.5</v>
      </c>
      <c r="G262" s="176">
        <v>0.25</v>
      </c>
      <c r="H262" s="172">
        <f t="shared" si="20"/>
        <v>21067.919999999998</v>
      </c>
      <c r="I262" s="162"/>
      <c r="J262" s="162"/>
      <c r="K262" s="162"/>
      <c r="L262" s="162"/>
      <c r="M262" s="162"/>
      <c r="N262" s="162"/>
      <c r="O262" s="162"/>
      <c r="P262" s="162"/>
      <c r="Q262" s="339">
        <f t="shared" si="6"/>
        <v>0</v>
      </c>
      <c r="R262" s="339">
        <f t="shared" si="7"/>
        <v>0</v>
      </c>
      <c r="S262" s="339">
        <f t="shared" si="8"/>
        <v>0</v>
      </c>
      <c r="T262" s="339">
        <f t="shared" si="9"/>
        <v>0</v>
      </c>
      <c r="U262" s="339">
        <f t="shared" si="10"/>
        <v>0</v>
      </c>
      <c r="V262" s="339">
        <f t="shared" si="11"/>
        <v>0</v>
      </c>
      <c r="W262" s="339">
        <f t="shared" si="12"/>
        <v>21067.919999999998</v>
      </c>
      <c r="X262" s="339">
        <f t="shared" si="13"/>
        <v>0</v>
      </c>
      <c r="Y262" s="339">
        <f t="shared" si="14"/>
        <v>0</v>
      </c>
      <c r="Z262" s="162"/>
      <c r="AA262" s="162"/>
      <c r="AB262" s="162"/>
      <c r="AC262" s="162"/>
      <c r="AD262" s="162"/>
    </row>
    <row r="263" spans="1:30">
      <c r="A263" s="838" t="s">
        <v>1566</v>
      </c>
      <c r="B263" s="169" t="s">
        <v>87</v>
      </c>
      <c r="C263" s="169" t="s">
        <v>773</v>
      </c>
      <c r="D263" s="143">
        <f t="shared" si="19"/>
        <v>2088</v>
      </c>
      <c r="E263" s="176">
        <v>1000</v>
      </c>
      <c r="F263" s="1107">
        <v>0.5</v>
      </c>
      <c r="G263" s="176">
        <v>0.25</v>
      </c>
      <c r="H263" s="172">
        <f t="shared" si="20"/>
        <v>21067.919999999998</v>
      </c>
      <c r="I263" s="162"/>
      <c r="J263" s="162"/>
      <c r="K263" s="162"/>
      <c r="L263" s="162"/>
      <c r="M263" s="162"/>
      <c r="N263" s="162"/>
      <c r="O263" s="162"/>
      <c r="P263" s="162"/>
      <c r="Q263" s="339">
        <f t="shared" si="6"/>
        <v>0</v>
      </c>
      <c r="R263" s="339">
        <f t="shared" si="7"/>
        <v>0</v>
      </c>
      <c r="S263" s="339">
        <f t="shared" si="8"/>
        <v>0</v>
      </c>
      <c r="T263" s="339">
        <f t="shared" si="9"/>
        <v>0</v>
      </c>
      <c r="U263" s="339">
        <f t="shared" si="10"/>
        <v>0</v>
      </c>
      <c r="V263" s="339">
        <f t="shared" si="11"/>
        <v>0</v>
      </c>
      <c r="W263" s="339">
        <f t="shared" si="12"/>
        <v>21067.919999999998</v>
      </c>
      <c r="X263" s="339">
        <f t="shared" si="13"/>
        <v>0</v>
      </c>
      <c r="Y263" s="339">
        <f t="shared" si="14"/>
        <v>0</v>
      </c>
      <c r="Z263" s="162"/>
      <c r="AA263" s="162"/>
      <c r="AB263" s="162"/>
      <c r="AC263" s="162"/>
      <c r="AD263" s="162"/>
    </row>
    <row r="264" spans="1:30">
      <c r="A264" s="838" t="s">
        <v>1567</v>
      </c>
      <c r="B264" s="169" t="s">
        <v>87</v>
      </c>
      <c r="C264" s="169" t="s">
        <v>773</v>
      </c>
      <c r="D264" s="143">
        <f t="shared" si="19"/>
        <v>2088</v>
      </c>
      <c r="E264" s="176">
        <v>1000</v>
      </c>
      <c r="F264" s="1107">
        <v>0.5</v>
      </c>
      <c r="G264" s="176">
        <v>0.25</v>
      </c>
      <c r="H264" s="172">
        <f t="shared" si="20"/>
        <v>21067.919999999998</v>
      </c>
      <c r="I264" s="162"/>
      <c r="J264" s="162"/>
      <c r="K264" s="162"/>
      <c r="L264" s="162"/>
      <c r="M264" s="162"/>
      <c r="N264" s="162"/>
      <c r="O264" s="162"/>
      <c r="P264" s="162"/>
      <c r="Q264" s="339">
        <f t="shared" si="6"/>
        <v>0</v>
      </c>
      <c r="R264" s="339">
        <f t="shared" si="7"/>
        <v>0</v>
      </c>
      <c r="S264" s="339">
        <f t="shared" si="8"/>
        <v>0</v>
      </c>
      <c r="T264" s="339">
        <f t="shared" si="9"/>
        <v>0</v>
      </c>
      <c r="U264" s="339">
        <f t="shared" si="10"/>
        <v>0</v>
      </c>
      <c r="V264" s="339">
        <f t="shared" si="11"/>
        <v>0</v>
      </c>
      <c r="W264" s="339">
        <f t="shared" si="12"/>
        <v>21067.919999999998</v>
      </c>
      <c r="X264" s="339">
        <f t="shared" si="13"/>
        <v>0</v>
      </c>
      <c r="Y264" s="339">
        <f t="shared" si="14"/>
        <v>0</v>
      </c>
      <c r="Z264" s="162"/>
      <c r="AA264" s="162"/>
      <c r="AB264" s="162"/>
      <c r="AC264" s="162"/>
      <c r="AD264" s="162"/>
    </row>
    <row r="265" spans="1:30">
      <c r="A265" s="838" t="s">
        <v>1568</v>
      </c>
      <c r="B265" s="169" t="s">
        <v>87</v>
      </c>
      <c r="C265" s="169" t="s">
        <v>773</v>
      </c>
      <c r="D265" s="143">
        <f t="shared" si="19"/>
        <v>2088</v>
      </c>
      <c r="E265" s="176">
        <v>1000</v>
      </c>
      <c r="F265" s="1107">
        <v>0.5</v>
      </c>
      <c r="G265" s="176">
        <v>0.25</v>
      </c>
      <c r="H265" s="172">
        <f t="shared" si="20"/>
        <v>21067.919999999998</v>
      </c>
      <c r="I265" s="162"/>
      <c r="J265" s="162"/>
      <c r="K265" s="162"/>
      <c r="L265" s="162"/>
      <c r="M265" s="162"/>
      <c r="N265" s="162"/>
      <c r="O265" s="162"/>
      <c r="P265" s="162"/>
      <c r="Q265" s="339">
        <f t="shared" si="6"/>
        <v>0</v>
      </c>
      <c r="R265" s="339">
        <f t="shared" si="7"/>
        <v>0</v>
      </c>
      <c r="S265" s="339">
        <f t="shared" si="8"/>
        <v>0</v>
      </c>
      <c r="T265" s="339">
        <f t="shared" si="9"/>
        <v>0</v>
      </c>
      <c r="U265" s="339">
        <f t="shared" si="10"/>
        <v>0</v>
      </c>
      <c r="V265" s="339">
        <f t="shared" si="11"/>
        <v>0</v>
      </c>
      <c r="W265" s="339">
        <f t="shared" si="12"/>
        <v>21067.919999999998</v>
      </c>
      <c r="X265" s="339">
        <f t="shared" si="13"/>
        <v>0</v>
      </c>
      <c r="Y265" s="339">
        <f t="shared" si="14"/>
        <v>0</v>
      </c>
      <c r="Z265" s="162"/>
      <c r="AA265" s="162"/>
      <c r="AB265" s="162"/>
      <c r="AC265" s="162"/>
      <c r="AD265" s="162"/>
    </row>
    <row r="266" spans="1:30">
      <c r="A266" s="838" t="s">
        <v>1569</v>
      </c>
      <c r="B266" s="169" t="s">
        <v>87</v>
      </c>
      <c r="C266" s="169" t="s">
        <v>773</v>
      </c>
      <c r="D266" s="143">
        <f t="shared" si="19"/>
        <v>2088</v>
      </c>
      <c r="E266" s="176">
        <v>1000</v>
      </c>
      <c r="F266" s="1107">
        <v>0.5</v>
      </c>
      <c r="G266" s="176">
        <v>0.25</v>
      </c>
      <c r="H266" s="172">
        <f t="shared" si="20"/>
        <v>21067.919999999998</v>
      </c>
      <c r="I266" s="162"/>
      <c r="J266" s="162"/>
      <c r="K266" s="162"/>
      <c r="L266" s="162"/>
      <c r="M266" s="162"/>
      <c r="N266" s="162"/>
      <c r="O266" s="162"/>
      <c r="P266" s="162"/>
      <c r="Q266" s="339">
        <f t="shared" si="6"/>
        <v>0</v>
      </c>
      <c r="R266" s="339">
        <f t="shared" si="7"/>
        <v>0</v>
      </c>
      <c r="S266" s="339">
        <f t="shared" si="8"/>
        <v>0</v>
      </c>
      <c r="T266" s="339">
        <f t="shared" si="9"/>
        <v>0</v>
      </c>
      <c r="U266" s="339">
        <f t="shared" si="10"/>
        <v>0</v>
      </c>
      <c r="V266" s="339">
        <f t="shared" si="11"/>
        <v>0</v>
      </c>
      <c r="W266" s="339">
        <f t="shared" si="12"/>
        <v>21067.919999999998</v>
      </c>
      <c r="X266" s="339">
        <f t="shared" si="13"/>
        <v>0</v>
      </c>
      <c r="Y266" s="339">
        <f t="shared" si="14"/>
        <v>0</v>
      </c>
      <c r="Z266" s="162"/>
      <c r="AA266" s="162"/>
      <c r="AB266" s="162"/>
      <c r="AC266" s="162"/>
      <c r="AD266" s="162"/>
    </row>
    <row r="267" spans="1:30">
      <c r="A267" s="838" t="s">
        <v>1570</v>
      </c>
      <c r="B267" s="169" t="s">
        <v>87</v>
      </c>
      <c r="C267" s="169" t="s">
        <v>773</v>
      </c>
      <c r="D267" s="143">
        <f t="shared" si="19"/>
        <v>2088</v>
      </c>
      <c r="E267" s="176">
        <v>1000</v>
      </c>
      <c r="F267" s="1107">
        <v>0.5</v>
      </c>
      <c r="G267" s="176">
        <v>0.25</v>
      </c>
      <c r="H267" s="172">
        <f t="shared" si="20"/>
        <v>21067.919999999998</v>
      </c>
      <c r="I267" s="162"/>
      <c r="J267" s="162"/>
      <c r="K267" s="162"/>
      <c r="L267" s="162"/>
      <c r="M267" s="162"/>
      <c r="N267" s="162"/>
      <c r="O267" s="162"/>
      <c r="P267" s="162"/>
      <c r="Q267" s="339">
        <f t="shared" si="6"/>
        <v>0</v>
      </c>
      <c r="R267" s="339">
        <f t="shared" si="7"/>
        <v>0</v>
      </c>
      <c r="S267" s="339">
        <f t="shared" si="8"/>
        <v>0</v>
      </c>
      <c r="T267" s="339">
        <f t="shared" si="9"/>
        <v>0</v>
      </c>
      <c r="U267" s="339">
        <f t="shared" si="10"/>
        <v>0</v>
      </c>
      <c r="V267" s="339">
        <f t="shared" si="11"/>
        <v>0</v>
      </c>
      <c r="W267" s="339">
        <f t="shared" si="12"/>
        <v>21067.919999999998</v>
      </c>
      <c r="X267" s="339">
        <f t="shared" si="13"/>
        <v>0</v>
      </c>
      <c r="Y267" s="339">
        <f t="shared" si="14"/>
        <v>0</v>
      </c>
      <c r="Z267" s="162"/>
      <c r="AA267" s="162"/>
      <c r="AB267" s="162"/>
      <c r="AC267" s="162"/>
      <c r="AD267" s="162"/>
    </row>
    <row r="268" spans="1:30">
      <c r="A268" s="838" t="s">
        <v>1571</v>
      </c>
      <c r="B268" s="169" t="s">
        <v>87</v>
      </c>
      <c r="C268" s="169" t="s">
        <v>773</v>
      </c>
      <c r="D268" s="143">
        <f t="shared" si="19"/>
        <v>2088</v>
      </c>
      <c r="E268" s="176">
        <v>1000</v>
      </c>
      <c r="F268" s="1107">
        <v>0.5</v>
      </c>
      <c r="G268" s="176">
        <v>0.25</v>
      </c>
      <c r="H268" s="172">
        <f t="shared" si="20"/>
        <v>21067.919999999998</v>
      </c>
      <c r="I268" s="162"/>
      <c r="J268" s="162"/>
      <c r="K268" s="162"/>
      <c r="L268" s="162"/>
      <c r="M268" s="162"/>
      <c r="N268" s="162"/>
      <c r="O268" s="162"/>
      <c r="P268" s="162"/>
      <c r="Q268" s="339">
        <f t="shared" si="6"/>
        <v>0</v>
      </c>
      <c r="R268" s="339">
        <f t="shared" si="7"/>
        <v>0</v>
      </c>
      <c r="S268" s="339">
        <f t="shared" si="8"/>
        <v>0</v>
      </c>
      <c r="T268" s="339">
        <f t="shared" si="9"/>
        <v>0</v>
      </c>
      <c r="U268" s="339">
        <f t="shared" si="10"/>
        <v>0</v>
      </c>
      <c r="V268" s="339">
        <f t="shared" si="11"/>
        <v>0</v>
      </c>
      <c r="W268" s="339">
        <f t="shared" si="12"/>
        <v>21067.919999999998</v>
      </c>
      <c r="X268" s="339">
        <f t="shared" si="13"/>
        <v>0</v>
      </c>
      <c r="Y268" s="339">
        <f t="shared" si="14"/>
        <v>0</v>
      </c>
      <c r="Z268" s="162"/>
      <c r="AA268" s="162"/>
      <c r="AB268" s="162"/>
      <c r="AC268" s="162"/>
      <c r="AD268" s="162"/>
    </row>
    <row r="269" spans="1:30">
      <c r="A269" s="838" t="s">
        <v>1572</v>
      </c>
      <c r="B269" s="169" t="s">
        <v>87</v>
      </c>
      <c r="C269" s="169" t="s">
        <v>773</v>
      </c>
      <c r="D269" s="143">
        <f t="shared" si="19"/>
        <v>2088</v>
      </c>
      <c r="E269" s="176">
        <v>1000</v>
      </c>
      <c r="F269" s="1107">
        <v>0.5</v>
      </c>
      <c r="G269" s="176">
        <v>0.25</v>
      </c>
      <c r="H269" s="172">
        <f t="shared" si="20"/>
        <v>21067.919999999998</v>
      </c>
      <c r="I269" s="162"/>
      <c r="J269" s="162"/>
      <c r="K269" s="162"/>
      <c r="L269" s="162"/>
      <c r="M269" s="162"/>
      <c r="N269" s="162"/>
      <c r="O269" s="162"/>
      <c r="P269" s="162"/>
      <c r="Q269" s="339">
        <f t="shared" si="6"/>
        <v>0</v>
      </c>
      <c r="R269" s="339">
        <f t="shared" si="7"/>
        <v>0</v>
      </c>
      <c r="S269" s="339">
        <f t="shared" si="8"/>
        <v>0</v>
      </c>
      <c r="T269" s="339">
        <f t="shared" si="9"/>
        <v>0</v>
      </c>
      <c r="U269" s="339">
        <f t="shared" si="10"/>
        <v>0</v>
      </c>
      <c r="V269" s="339">
        <f t="shared" si="11"/>
        <v>0</v>
      </c>
      <c r="W269" s="339">
        <f t="shared" si="12"/>
        <v>21067.919999999998</v>
      </c>
      <c r="X269" s="339">
        <f t="shared" si="13"/>
        <v>0</v>
      </c>
      <c r="Y269" s="339">
        <f t="shared" si="14"/>
        <v>0</v>
      </c>
      <c r="Z269" s="162"/>
      <c r="AA269" s="162"/>
      <c r="AB269" s="162"/>
      <c r="AC269" s="162"/>
      <c r="AD269" s="162"/>
    </row>
    <row r="270" spans="1:30">
      <c r="A270" s="838" t="s">
        <v>1573</v>
      </c>
      <c r="B270" s="169" t="s">
        <v>87</v>
      </c>
      <c r="C270" s="169" t="s">
        <v>773</v>
      </c>
      <c r="D270" s="143">
        <f t="shared" si="19"/>
        <v>2088</v>
      </c>
      <c r="E270" s="176">
        <v>1000</v>
      </c>
      <c r="F270" s="1107">
        <v>0.5</v>
      </c>
      <c r="G270" s="176">
        <v>0.25</v>
      </c>
      <c r="H270" s="172">
        <f t="shared" si="20"/>
        <v>21067.919999999998</v>
      </c>
      <c r="I270" s="162"/>
      <c r="J270" s="162"/>
      <c r="K270" s="162"/>
      <c r="L270" s="162"/>
      <c r="M270" s="162"/>
      <c r="N270" s="162"/>
      <c r="O270" s="162"/>
      <c r="P270" s="162"/>
      <c r="Q270" s="339">
        <f t="shared" si="6"/>
        <v>0</v>
      </c>
      <c r="R270" s="339">
        <f t="shared" si="7"/>
        <v>0</v>
      </c>
      <c r="S270" s="339">
        <f t="shared" si="8"/>
        <v>0</v>
      </c>
      <c r="T270" s="339">
        <f t="shared" si="9"/>
        <v>0</v>
      </c>
      <c r="U270" s="339">
        <f t="shared" si="10"/>
        <v>0</v>
      </c>
      <c r="V270" s="339">
        <f t="shared" si="11"/>
        <v>0</v>
      </c>
      <c r="W270" s="339">
        <f t="shared" si="12"/>
        <v>21067.919999999998</v>
      </c>
      <c r="X270" s="339">
        <f t="shared" si="13"/>
        <v>0</v>
      </c>
      <c r="Y270" s="339">
        <f t="shared" si="14"/>
        <v>0</v>
      </c>
      <c r="Z270" s="162"/>
      <c r="AA270" s="162"/>
      <c r="AB270" s="162"/>
      <c r="AC270" s="162"/>
      <c r="AD270" s="162"/>
    </row>
    <row r="271" spans="1:30">
      <c r="A271" s="838" t="s">
        <v>1574</v>
      </c>
      <c r="B271" s="169" t="s">
        <v>87</v>
      </c>
      <c r="C271" s="169" t="s">
        <v>773</v>
      </c>
      <c r="D271" s="143">
        <f t="shared" si="19"/>
        <v>2088</v>
      </c>
      <c r="E271" s="176">
        <v>1000</v>
      </c>
      <c r="F271" s="1107">
        <v>0.5</v>
      </c>
      <c r="G271" s="176">
        <v>0.25</v>
      </c>
      <c r="H271" s="172">
        <f t="shared" si="20"/>
        <v>21067.919999999998</v>
      </c>
      <c r="I271" s="162"/>
      <c r="J271" s="162"/>
      <c r="K271" s="162"/>
      <c r="L271" s="162"/>
      <c r="M271" s="162"/>
      <c r="N271" s="162"/>
      <c r="O271" s="162"/>
      <c r="P271" s="162"/>
      <c r="Q271" s="339">
        <f t="shared" si="6"/>
        <v>0</v>
      </c>
      <c r="R271" s="339">
        <f t="shared" si="7"/>
        <v>0</v>
      </c>
      <c r="S271" s="339">
        <f t="shared" si="8"/>
        <v>0</v>
      </c>
      <c r="T271" s="339">
        <f t="shared" si="9"/>
        <v>0</v>
      </c>
      <c r="U271" s="339">
        <f t="shared" si="10"/>
        <v>0</v>
      </c>
      <c r="V271" s="339">
        <f t="shared" si="11"/>
        <v>0</v>
      </c>
      <c r="W271" s="339">
        <f t="shared" si="12"/>
        <v>21067.919999999998</v>
      </c>
      <c r="X271" s="339">
        <f t="shared" si="13"/>
        <v>0</v>
      </c>
      <c r="Y271" s="339">
        <f t="shared" si="14"/>
        <v>0</v>
      </c>
      <c r="Z271" s="162"/>
      <c r="AA271" s="162"/>
      <c r="AB271" s="162"/>
      <c r="AC271" s="162"/>
      <c r="AD271" s="162"/>
    </row>
    <row r="272" spans="1:30">
      <c r="A272" s="838" t="s">
        <v>1575</v>
      </c>
      <c r="B272" s="169" t="s">
        <v>87</v>
      </c>
      <c r="C272" s="169" t="s">
        <v>773</v>
      </c>
      <c r="D272" s="143">
        <f t="shared" si="19"/>
        <v>2088</v>
      </c>
      <c r="E272" s="176">
        <v>1000</v>
      </c>
      <c r="F272" s="1107">
        <v>0.5</v>
      </c>
      <c r="G272" s="176">
        <v>0.25</v>
      </c>
      <c r="H272" s="172">
        <f t="shared" si="20"/>
        <v>21067.919999999998</v>
      </c>
      <c r="I272" s="162"/>
      <c r="J272" s="162"/>
      <c r="K272" s="162"/>
      <c r="L272" s="162"/>
      <c r="M272" s="162"/>
      <c r="N272" s="162"/>
      <c r="O272" s="162"/>
      <c r="P272" s="162"/>
      <c r="Q272" s="339">
        <f t="shared" si="6"/>
        <v>0</v>
      </c>
      <c r="R272" s="339">
        <f t="shared" si="7"/>
        <v>0</v>
      </c>
      <c r="S272" s="339">
        <f t="shared" si="8"/>
        <v>0</v>
      </c>
      <c r="T272" s="339">
        <f t="shared" si="9"/>
        <v>0</v>
      </c>
      <c r="U272" s="339">
        <f t="shared" si="10"/>
        <v>0</v>
      </c>
      <c r="V272" s="339">
        <f t="shared" si="11"/>
        <v>0</v>
      </c>
      <c r="W272" s="339">
        <f t="shared" si="12"/>
        <v>21067.919999999998</v>
      </c>
      <c r="X272" s="339">
        <f t="shared" si="13"/>
        <v>0</v>
      </c>
      <c r="Y272" s="339">
        <f t="shared" si="14"/>
        <v>0</v>
      </c>
      <c r="Z272" s="162"/>
      <c r="AA272" s="162"/>
      <c r="AB272" s="162"/>
      <c r="AC272" s="162"/>
      <c r="AD272" s="162"/>
    </row>
    <row r="273" spans="1:30">
      <c r="A273" s="838" t="s">
        <v>1576</v>
      </c>
      <c r="B273" s="169" t="s">
        <v>87</v>
      </c>
      <c r="C273" s="169" t="s">
        <v>773</v>
      </c>
      <c r="D273" s="143">
        <f t="shared" si="19"/>
        <v>2088</v>
      </c>
      <c r="E273" s="176">
        <v>1000</v>
      </c>
      <c r="F273" s="1107">
        <v>0.5</v>
      </c>
      <c r="G273" s="176">
        <v>0.25</v>
      </c>
      <c r="H273" s="172">
        <f t="shared" si="20"/>
        <v>21067.919999999998</v>
      </c>
      <c r="I273" s="162"/>
      <c r="J273" s="162"/>
      <c r="K273" s="162"/>
      <c r="L273" s="162"/>
      <c r="M273" s="162"/>
      <c r="N273" s="162"/>
      <c r="O273" s="162"/>
      <c r="P273" s="162"/>
      <c r="Q273" s="339">
        <f t="shared" si="6"/>
        <v>0</v>
      </c>
      <c r="R273" s="339">
        <f t="shared" si="7"/>
        <v>0</v>
      </c>
      <c r="S273" s="339">
        <f t="shared" si="8"/>
        <v>0</v>
      </c>
      <c r="T273" s="339">
        <f t="shared" si="9"/>
        <v>0</v>
      </c>
      <c r="U273" s="339">
        <f t="shared" si="10"/>
        <v>0</v>
      </c>
      <c r="V273" s="339">
        <f t="shared" si="11"/>
        <v>0</v>
      </c>
      <c r="W273" s="339">
        <f t="shared" si="12"/>
        <v>21067.919999999998</v>
      </c>
      <c r="X273" s="339">
        <f t="shared" si="13"/>
        <v>0</v>
      </c>
      <c r="Y273" s="339">
        <f t="shared" si="14"/>
        <v>0</v>
      </c>
      <c r="Z273" s="162"/>
      <c r="AA273" s="162"/>
      <c r="AB273" s="162"/>
      <c r="AC273" s="162"/>
      <c r="AD273" s="162"/>
    </row>
    <row r="274" spans="1:30">
      <c r="A274" s="838" t="s">
        <v>1577</v>
      </c>
      <c r="B274" s="169" t="s">
        <v>87</v>
      </c>
      <c r="C274" s="169" t="s">
        <v>773</v>
      </c>
      <c r="D274" s="143">
        <f t="shared" si="19"/>
        <v>2088</v>
      </c>
      <c r="E274" s="176">
        <v>1000</v>
      </c>
      <c r="F274" s="1107">
        <v>0.5</v>
      </c>
      <c r="G274" s="176">
        <v>0.25</v>
      </c>
      <c r="H274" s="172">
        <f t="shared" si="20"/>
        <v>21067.919999999998</v>
      </c>
      <c r="I274" s="162"/>
      <c r="J274" s="162"/>
      <c r="K274" s="162"/>
      <c r="L274" s="162"/>
      <c r="M274" s="162"/>
      <c r="N274" s="162"/>
      <c r="O274" s="162"/>
      <c r="P274" s="162"/>
      <c r="Q274" s="339">
        <f t="shared" si="6"/>
        <v>0</v>
      </c>
      <c r="R274" s="339">
        <f t="shared" si="7"/>
        <v>0</v>
      </c>
      <c r="S274" s="339">
        <f t="shared" si="8"/>
        <v>0</v>
      </c>
      <c r="T274" s="339">
        <f t="shared" si="9"/>
        <v>0</v>
      </c>
      <c r="U274" s="339">
        <f t="shared" si="10"/>
        <v>0</v>
      </c>
      <c r="V274" s="339">
        <f t="shared" si="11"/>
        <v>0</v>
      </c>
      <c r="W274" s="339">
        <f t="shared" si="12"/>
        <v>21067.919999999998</v>
      </c>
      <c r="X274" s="339">
        <f t="shared" si="13"/>
        <v>0</v>
      </c>
      <c r="Y274" s="339">
        <f t="shared" si="14"/>
        <v>0</v>
      </c>
      <c r="Z274" s="162"/>
      <c r="AA274" s="162"/>
      <c r="AB274" s="162"/>
      <c r="AC274" s="162"/>
      <c r="AD274" s="162"/>
    </row>
    <row r="275" spans="1:30">
      <c r="A275" s="838" t="s">
        <v>1578</v>
      </c>
      <c r="B275" s="169" t="s">
        <v>87</v>
      </c>
      <c r="C275" s="169" t="s">
        <v>773</v>
      </c>
      <c r="D275" s="143">
        <f t="shared" si="19"/>
        <v>2088</v>
      </c>
      <c r="E275" s="176">
        <v>1000</v>
      </c>
      <c r="F275" s="1107">
        <v>0.5</v>
      </c>
      <c r="G275" s="176">
        <v>0.25</v>
      </c>
      <c r="H275" s="172">
        <f t="shared" si="20"/>
        <v>21067.919999999998</v>
      </c>
      <c r="I275" s="162"/>
      <c r="J275" s="162"/>
      <c r="K275" s="162"/>
      <c r="L275" s="162"/>
      <c r="M275" s="162"/>
      <c r="N275" s="162"/>
      <c r="O275" s="162"/>
      <c r="P275" s="162"/>
      <c r="Q275" s="339">
        <f t="shared" si="6"/>
        <v>0</v>
      </c>
      <c r="R275" s="339">
        <f t="shared" si="7"/>
        <v>0</v>
      </c>
      <c r="S275" s="339">
        <f t="shared" si="8"/>
        <v>0</v>
      </c>
      <c r="T275" s="339">
        <f t="shared" si="9"/>
        <v>0</v>
      </c>
      <c r="U275" s="339">
        <f t="shared" si="10"/>
        <v>0</v>
      </c>
      <c r="V275" s="339">
        <f t="shared" si="11"/>
        <v>0</v>
      </c>
      <c r="W275" s="339">
        <f t="shared" si="12"/>
        <v>21067.919999999998</v>
      </c>
      <c r="X275" s="339">
        <f t="shared" si="13"/>
        <v>0</v>
      </c>
      <c r="Y275" s="339">
        <f t="shared" si="14"/>
        <v>0</v>
      </c>
      <c r="Z275" s="162"/>
      <c r="AA275" s="162"/>
      <c r="AB275" s="162"/>
      <c r="AC275" s="162"/>
      <c r="AD275" s="162"/>
    </row>
    <row r="276" spans="1:30">
      <c r="A276" s="838" t="s">
        <v>1579</v>
      </c>
      <c r="B276" s="169" t="s">
        <v>87</v>
      </c>
      <c r="C276" s="169" t="s">
        <v>773</v>
      </c>
      <c r="D276" s="143">
        <f t="shared" si="19"/>
        <v>2088</v>
      </c>
      <c r="E276" s="176">
        <v>1000</v>
      </c>
      <c r="F276" s="1107">
        <v>0.5</v>
      </c>
      <c r="G276" s="176">
        <v>0.25</v>
      </c>
      <c r="H276" s="172">
        <f t="shared" si="20"/>
        <v>21067.919999999998</v>
      </c>
      <c r="I276" s="162"/>
      <c r="J276" s="162"/>
      <c r="K276" s="162"/>
      <c r="L276" s="162"/>
      <c r="M276" s="162"/>
      <c r="N276" s="162"/>
      <c r="O276" s="162"/>
      <c r="P276" s="162"/>
      <c r="Q276" s="339">
        <f t="shared" si="6"/>
        <v>0</v>
      </c>
      <c r="R276" s="339">
        <f t="shared" si="7"/>
        <v>0</v>
      </c>
      <c r="S276" s="339">
        <f t="shared" si="8"/>
        <v>0</v>
      </c>
      <c r="T276" s="339">
        <f t="shared" si="9"/>
        <v>0</v>
      </c>
      <c r="U276" s="339">
        <f t="shared" si="10"/>
        <v>0</v>
      </c>
      <c r="V276" s="339">
        <f t="shared" si="11"/>
        <v>0</v>
      </c>
      <c r="W276" s="339">
        <f t="shared" si="12"/>
        <v>21067.919999999998</v>
      </c>
      <c r="X276" s="339">
        <f t="shared" si="13"/>
        <v>0</v>
      </c>
      <c r="Y276" s="339">
        <f t="shared" si="14"/>
        <v>0</v>
      </c>
      <c r="Z276" s="162"/>
      <c r="AA276" s="162"/>
      <c r="AB276" s="162"/>
      <c r="AC276" s="162"/>
      <c r="AD276" s="162"/>
    </row>
    <row r="277" spans="1:30">
      <c r="A277" s="838" t="s">
        <v>1580</v>
      </c>
      <c r="B277" s="169" t="s">
        <v>87</v>
      </c>
      <c r="C277" s="169" t="s">
        <v>773</v>
      </c>
      <c r="D277" s="143">
        <f t="shared" si="19"/>
        <v>2088</v>
      </c>
      <c r="E277" s="176">
        <v>1000</v>
      </c>
      <c r="F277" s="1107">
        <v>0.5</v>
      </c>
      <c r="G277" s="176">
        <v>0.25</v>
      </c>
      <c r="H277" s="172">
        <f t="shared" si="20"/>
        <v>21067.919999999998</v>
      </c>
      <c r="I277" s="162"/>
      <c r="J277" s="162"/>
      <c r="K277" s="162"/>
      <c r="L277" s="162"/>
      <c r="M277" s="162"/>
      <c r="N277" s="162"/>
      <c r="O277" s="162"/>
      <c r="P277" s="162"/>
      <c r="Q277" s="339">
        <f t="shared" si="6"/>
        <v>0</v>
      </c>
      <c r="R277" s="339">
        <f t="shared" si="7"/>
        <v>0</v>
      </c>
      <c r="S277" s="339">
        <f t="shared" si="8"/>
        <v>0</v>
      </c>
      <c r="T277" s="339">
        <f t="shared" si="9"/>
        <v>0</v>
      </c>
      <c r="U277" s="339">
        <f t="shared" si="10"/>
        <v>0</v>
      </c>
      <c r="V277" s="339">
        <f t="shared" si="11"/>
        <v>0</v>
      </c>
      <c r="W277" s="339">
        <f t="shared" si="12"/>
        <v>21067.919999999998</v>
      </c>
      <c r="X277" s="339">
        <f t="shared" si="13"/>
        <v>0</v>
      </c>
      <c r="Y277" s="339">
        <f t="shared" si="14"/>
        <v>0</v>
      </c>
      <c r="Z277" s="162"/>
      <c r="AA277" s="162"/>
      <c r="AB277" s="162"/>
      <c r="AC277" s="162"/>
      <c r="AD277" s="162"/>
    </row>
    <row r="278" spans="1:30">
      <c r="A278" s="838" t="s">
        <v>1581</v>
      </c>
      <c r="B278" s="169" t="s">
        <v>87</v>
      </c>
      <c r="C278" s="169" t="s">
        <v>773</v>
      </c>
      <c r="D278" s="143">
        <f t="shared" si="19"/>
        <v>2088</v>
      </c>
      <c r="E278" s="176">
        <v>1000</v>
      </c>
      <c r="F278" s="1107">
        <v>0.5</v>
      </c>
      <c r="G278" s="176">
        <v>0.25</v>
      </c>
      <c r="H278" s="172">
        <f t="shared" si="20"/>
        <v>21067.919999999998</v>
      </c>
      <c r="I278" s="162"/>
      <c r="J278" s="162"/>
      <c r="K278" s="162"/>
      <c r="L278" s="162"/>
      <c r="M278" s="162"/>
      <c r="N278" s="162"/>
      <c r="O278" s="162"/>
      <c r="P278" s="162"/>
      <c r="Q278" s="339">
        <f t="shared" si="6"/>
        <v>0</v>
      </c>
      <c r="R278" s="339">
        <f t="shared" si="7"/>
        <v>0</v>
      </c>
      <c r="S278" s="339">
        <f t="shared" si="8"/>
        <v>0</v>
      </c>
      <c r="T278" s="339">
        <f t="shared" si="9"/>
        <v>0</v>
      </c>
      <c r="U278" s="339">
        <f t="shared" si="10"/>
        <v>0</v>
      </c>
      <c r="V278" s="339">
        <f t="shared" si="11"/>
        <v>0</v>
      </c>
      <c r="W278" s="339">
        <f t="shared" si="12"/>
        <v>21067.919999999998</v>
      </c>
      <c r="X278" s="339">
        <f t="shared" si="13"/>
        <v>0</v>
      </c>
      <c r="Y278" s="339">
        <f t="shared" si="14"/>
        <v>0</v>
      </c>
      <c r="Z278" s="162"/>
      <c r="AA278" s="162"/>
      <c r="AB278" s="162"/>
      <c r="AC278" s="162"/>
      <c r="AD278" s="162"/>
    </row>
    <row r="279" spans="1:30">
      <c r="A279" s="838" t="s">
        <v>1582</v>
      </c>
      <c r="B279" s="169" t="s">
        <v>87</v>
      </c>
      <c r="C279" s="169" t="s">
        <v>773</v>
      </c>
      <c r="D279" s="143">
        <f t="shared" si="19"/>
        <v>2088</v>
      </c>
      <c r="E279" s="176">
        <v>1000</v>
      </c>
      <c r="F279" s="1107">
        <v>0.5</v>
      </c>
      <c r="G279" s="176">
        <v>0.25</v>
      </c>
      <c r="H279" s="172">
        <f t="shared" si="20"/>
        <v>21067.919999999998</v>
      </c>
      <c r="I279" s="162"/>
      <c r="J279" s="162"/>
      <c r="K279" s="162"/>
      <c r="L279" s="162"/>
      <c r="M279" s="162"/>
      <c r="N279" s="162"/>
      <c r="O279" s="162"/>
      <c r="P279" s="162"/>
      <c r="Q279" s="339">
        <f t="shared" si="6"/>
        <v>0</v>
      </c>
      <c r="R279" s="339">
        <f t="shared" si="7"/>
        <v>0</v>
      </c>
      <c r="S279" s="339">
        <f t="shared" si="8"/>
        <v>0</v>
      </c>
      <c r="T279" s="339">
        <f t="shared" si="9"/>
        <v>0</v>
      </c>
      <c r="U279" s="339">
        <f t="shared" si="10"/>
        <v>0</v>
      </c>
      <c r="V279" s="339">
        <f t="shared" si="11"/>
        <v>0</v>
      </c>
      <c r="W279" s="339">
        <f t="shared" si="12"/>
        <v>21067.919999999998</v>
      </c>
      <c r="X279" s="339">
        <f t="shared" si="13"/>
        <v>0</v>
      </c>
      <c r="Y279" s="339">
        <f t="shared" si="14"/>
        <v>0</v>
      </c>
      <c r="Z279" s="162"/>
      <c r="AA279" s="162"/>
      <c r="AB279" s="162"/>
      <c r="AC279" s="162"/>
      <c r="AD279" s="162"/>
    </row>
    <row r="280" spans="1:30">
      <c r="A280" s="838" t="s">
        <v>1583</v>
      </c>
      <c r="B280" s="169" t="s">
        <v>87</v>
      </c>
      <c r="C280" s="169" t="s">
        <v>773</v>
      </c>
      <c r="D280" s="143">
        <f t="shared" si="19"/>
        <v>2088</v>
      </c>
      <c r="E280" s="176">
        <v>1000</v>
      </c>
      <c r="F280" s="1107">
        <v>0.5</v>
      </c>
      <c r="G280" s="176">
        <v>0.25</v>
      </c>
      <c r="H280" s="172">
        <f t="shared" si="20"/>
        <v>21067.919999999998</v>
      </c>
      <c r="I280" s="162"/>
      <c r="J280" s="162"/>
      <c r="K280" s="162"/>
      <c r="L280" s="162"/>
      <c r="M280" s="162"/>
      <c r="N280" s="162"/>
      <c r="O280" s="162"/>
      <c r="P280" s="162"/>
      <c r="Q280" s="339">
        <f t="shared" si="6"/>
        <v>0</v>
      </c>
      <c r="R280" s="339">
        <f t="shared" si="7"/>
        <v>0</v>
      </c>
      <c r="S280" s="339">
        <f t="shared" si="8"/>
        <v>0</v>
      </c>
      <c r="T280" s="339">
        <f t="shared" si="9"/>
        <v>0</v>
      </c>
      <c r="U280" s="339">
        <f t="shared" si="10"/>
        <v>0</v>
      </c>
      <c r="V280" s="339">
        <f t="shared" si="11"/>
        <v>0</v>
      </c>
      <c r="W280" s="339">
        <f t="shared" si="12"/>
        <v>21067.919999999998</v>
      </c>
      <c r="X280" s="339">
        <f t="shared" si="13"/>
        <v>0</v>
      </c>
      <c r="Y280" s="339">
        <f t="shared" si="14"/>
        <v>0</v>
      </c>
      <c r="Z280" s="162"/>
      <c r="AA280" s="162"/>
      <c r="AB280" s="162"/>
      <c r="AC280" s="162"/>
      <c r="AD280" s="162"/>
    </row>
    <row r="281" spans="1:30">
      <c r="A281" s="838" t="s">
        <v>1584</v>
      </c>
      <c r="B281" s="169" t="s">
        <v>87</v>
      </c>
      <c r="C281" s="169" t="s">
        <v>773</v>
      </c>
      <c r="D281" s="143">
        <f t="shared" si="19"/>
        <v>2088</v>
      </c>
      <c r="E281" s="176">
        <v>1000</v>
      </c>
      <c r="F281" s="1107">
        <v>0.5</v>
      </c>
      <c r="G281" s="176">
        <v>0.25</v>
      </c>
      <c r="H281" s="172">
        <f t="shared" si="20"/>
        <v>21067.919999999998</v>
      </c>
      <c r="I281" s="162"/>
      <c r="J281" s="162"/>
      <c r="K281" s="162"/>
      <c r="L281" s="162"/>
      <c r="M281" s="162"/>
      <c r="N281" s="162"/>
      <c r="O281" s="162"/>
      <c r="P281" s="162"/>
      <c r="Q281" s="339">
        <f t="shared" si="6"/>
        <v>0</v>
      </c>
      <c r="R281" s="339">
        <f t="shared" si="7"/>
        <v>0</v>
      </c>
      <c r="S281" s="339">
        <f t="shared" si="8"/>
        <v>0</v>
      </c>
      <c r="T281" s="339">
        <f t="shared" si="9"/>
        <v>0</v>
      </c>
      <c r="U281" s="339">
        <f t="shared" si="10"/>
        <v>0</v>
      </c>
      <c r="V281" s="339">
        <f t="shared" si="11"/>
        <v>0</v>
      </c>
      <c r="W281" s="339">
        <f t="shared" si="12"/>
        <v>21067.919999999998</v>
      </c>
      <c r="X281" s="339">
        <f t="shared" si="13"/>
        <v>0</v>
      </c>
      <c r="Y281" s="339">
        <f t="shared" si="14"/>
        <v>0</v>
      </c>
      <c r="Z281" s="162"/>
      <c r="AA281" s="162"/>
      <c r="AB281" s="162"/>
      <c r="AC281" s="162"/>
      <c r="AD281" s="162"/>
    </row>
    <row r="282" spans="1:30">
      <c r="A282" s="838" t="s">
        <v>1585</v>
      </c>
      <c r="B282" s="169" t="s">
        <v>87</v>
      </c>
      <c r="C282" s="169" t="s">
        <v>773</v>
      </c>
      <c r="D282" s="143">
        <f t="shared" si="19"/>
        <v>2088</v>
      </c>
      <c r="E282" s="176">
        <v>1000</v>
      </c>
      <c r="F282" s="1107">
        <v>0.5</v>
      </c>
      <c r="G282" s="176">
        <v>0.25</v>
      </c>
      <c r="H282" s="172">
        <f t="shared" si="20"/>
        <v>21067.919999999998</v>
      </c>
      <c r="I282" s="162"/>
      <c r="J282" s="162"/>
      <c r="K282" s="162"/>
      <c r="L282" s="162"/>
      <c r="M282" s="162"/>
      <c r="N282" s="162"/>
      <c r="O282" s="162"/>
      <c r="P282" s="162"/>
      <c r="Q282" s="339">
        <f t="shared" si="6"/>
        <v>0</v>
      </c>
      <c r="R282" s="339">
        <f t="shared" si="7"/>
        <v>0</v>
      </c>
      <c r="S282" s="339">
        <f t="shared" si="8"/>
        <v>0</v>
      </c>
      <c r="T282" s="339">
        <f t="shared" si="9"/>
        <v>0</v>
      </c>
      <c r="U282" s="339">
        <f t="shared" si="10"/>
        <v>0</v>
      </c>
      <c r="V282" s="339">
        <f t="shared" si="11"/>
        <v>0</v>
      </c>
      <c r="W282" s="339">
        <f t="shared" si="12"/>
        <v>21067.919999999998</v>
      </c>
      <c r="X282" s="339">
        <f t="shared" si="13"/>
        <v>0</v>
      </c>
      <c r="Y282" s="339">
        <f t="shared" si="14"/>
        <v>0</v>
      </c>
      <c r="Z282" s="162"/>
      <c r="AA282" s="162"/>
      <c r="AB282" s="162"/>
      <c r="AC282" s="162"/>
      <c r="AD282" s="162"/>
    </row>
    <row r="283" spans="1:30">
      <c r="A283" s="838" t="s">
        <v>1586</v>
      </c>
      <c r="B283" s="169" t="s">
        <v>87</v>
      </c>
      <c r="C283" s="169" t="s">
        <v>773</v>
      </c>
      <c r="D283" s="143">
        <f t="shared" si="19"/>
        <v>2088</v>
      </c>
      <c r="E283" s="176">
        <v>1000</v>
      </c>
      <c r="F283" s="1107">
        <v>0.5</v>
      </c>
      <c r="G283" s="176">
        <v>0.25</v>
      </c>
      <c r="H283" s="172">
        <f t="shared" si="20"/>
        <v>21067.919999999998</v>
      </c>
      <c r="I283" s="162"/>
      <c r="J283" s="162"/>
      <c r="K283" s="162"/>
      <c r="L283" s="162"/>
      <c r="M283" s="162"/>
      <c r="N283" s="162"/>
      <c r="O283" s="162"/>
      <c r="P283" s="162"/>
      <c r="Q283" s="339">
        <f t="shared" si="6"/>
        <v>0</v>
      </c>
      <c r="R283" s="339">
        <f t="shared" si="7"/>
        <v>0</v>
      </c>
      <c r="S283" s="339">
        <f t="shared" si="8"/>
        <v>0</v>
      </c>
      <c r="T283" s="339">
        <f t="shared" si="9"/>
        <v>0</v>
      </c>
      <c r="U283" s="339">
        <f t="shared" si="10"/>
        <v>0</v>
      </c>
      <c r="V283" s="339">
        <f t="shared" si="11"/>
        <v>0</v>
      </c>
      <c r="W283" s="339">
        <f t="shared" si="12"/>
        <v>21067.919999999998</v>
      </c>
      <c r="X283" s="339">
        <f t="shared" si="13"/>
        <v>0</v>
      </c>
      <c r="Y283" s="339">
        <f t="shared" si="14"/>
        <v>0</v>
      </c>
      <c r="Z283" s="162"/>
      <c r="AA283" s="162"/>
      <c r="AB283" s="162"/>
      <c r="AC283" s="162"/>
      <c r="AD283" s="162"/>
    </row>
    <row r="284" spans="1:30">
      <c r="A284" s="838" t="s">
        <v>1587</v>
      </c>
      <c r="B284" s="169" t="s">
        <v>87</v>
      </c>
      <c r="C284" s="169" t="s">
        <v>773</v>
      </c>
      <c r="D284" s="143">
        <f t="shared" si="19"/>
        <v>2088</v>
      </c>
      <c r="E284" s="176">
        <v>1000</v>
      </c>
      <c r="F284" s="1107">
        <v>0.5</v>
      </c>
      <c r="G284" s="176">
        <v>0.25</v>
      </c>
      <c r="H284" s="172">
        <f t="shared" si="20"/>
        <v>21067.919999999998</v>
      </c>
      <c r="I284" s="162"/>
      <c r="J284" s="162"/>
      <c r="K284" s="162"/>
      <c r="L284" s="162"/>
      <c r="M284" s="162"/>
      <c r="N284" s="162"/>
      <c r="O284" s="162"/>
      <c r="P284" s="162"/>
      <c r="Q284" s="339">
        <f t="shared" si="6"/>
        <v>0</v>
      </c>
      <c r="R284" s="339">
        <f t="shared" si="7"/>
        <v>0</v>
      </c>
      <c r="S284" s="339">
        <f t="shared" si="8"/>
        <v>0</v>
      </c>
      <c r="T284" s="339">
        <f t="shared" si="9"/>
        <v>0</v>
      </c>
      <c r="U284" s="339">
        <f t="shared" si="10"/>
        <v>0</v>
      </c>
      <c r="V284" s="339">
        <f t="shared" si="11"/>
        <v>0</v>
      </c>
      <c r="W284" s="339">
        <f t="shared" si="12"/>
        <v>21067.919999999998</v>
      </c>
      <c r="X284" s="339">
        <f t="shared" si="13"/>
        <v>0</v>
      </c>
      <c r="Y284" s="339">
        <f t="shared" si="14"/>
        <v>0</v>
      </c>
      <c r="Z284" s="162"/>
      <c r="AA284" s="162"/>
      <c r="AB284" s="162"/>
      <c r="AC284" s="162"/>
      <c r="AD284" s="162"/>
    </row>
    <row r="285" spans="1:30">
      <c r="A285" s="838" t="s">
        <v>1588</v>
      </c>
      <c r="B285" s="169" t="s">
        <v>87</v>
      </c>
      <c r="C285" s="169" t="s">
        <v>773</v>
      </c>
      <c r="D285" s="143">
        <f t="shared" si="19"/>
        <v>2088</v>
      </c>
      <c r="E285" s="176">
        <v>1000</v>
      </c>
      <c r="F285" s="1107">
        <v>0.5</v>
      </c>
      <c r="G285" s="176">
        <v>0.25</v>
      </c>
      <c r="H285" s="172">
        <f t="shared" si="20"/>
        <v>21067.919999999998</v>
      </c>
      <c r="I285" s="162"/>
      <c r="J285" s="162"/>
      <c r="K285" s="162"/>
      <c r="L285" s="162"/>
      <c r="M285" s="162"/>
      <c r="N285" s="162"/>
      <c r="O285" s="162"/>
      <c r="P285" s="162"/>
      <c r="Q285" s="339">
        <f t="shared" si="6"/>
        <v>0</v>
      </c>
      <c r="R285" s="339">
        <f t="shared" si="7"/>
        <v>0</v>
      </c>
      <c r="S285" s="339">
        <f t="shared" si="8"/>
        <v>0</v>
      </c>
      <c r="T285" s="339">
        <f t="shared" si="9"/>
        <v>0</v>
      </c>
      <c r="U285" s="339">
        <f t="shared" si="10"/>
        <v>0</v>
      </c>
      <c r="V285" s="339">
        <f t="shared" si="11"/>
        <v>0</v>
      </c>
      <c r="W285" s="339">
        <f t="shared" si="12"/>
        <v>21067.919999999998</v>
      </c>
      <c r="X285" s="339">
        <f t="shared" si="13"/>
        <v>0</v>
      </c>
      <c r="Y285" s="339">
        <f t="shared" si="14"/>
        <v>0</v>
      </c>
      <c r="Z285" s="162"/>
      <c r="AA285" s="162"/>
      <c r="AB285" s="162"/>
      <c r="AC285" s="162"/>
      <c r="AD285" s="162"/>
    </row>
    <row r="286" spans="1:30">
      <c r="A286" s="838" t="s">
        <v>1589</v>
      </c>
      <c r="B286" s="169" t="s">
        <v>87</v>
      </c>
      <c r="C286" s="169" t="s">
        <v>773</v>
      </c>
      <c r="D286" s="143">
        <f t="shared" si="19"/>
        <v>2088</v>
      </c>
      <c r="E286" s="176">
        <v>1000</v>
      </c>
      <c r="F286" s="1107">
        <v>0.5</v>
      </c>
      <c r="G286" s="176">
        <v>0.25</v>
      </c>
      <c r="H286" s="172">
        <f t="shared" si="20"/>
        <v>21067.919999999998</v>
      </c>
      <c r="I286" s="162"/>
      <c r="J286" s="162"/>
      <c r="K286" s="162"/>
      <c r="L286" s="162"/>
      <c r="M286" s="162"/>
      <c r="N286" s="162"/>
      <c r="O286" s="162"/>
      <c r="P286" s="162"/>
      <c r="Q286" s="339">
        <f t="shared" si="6"/>
        <v>0</v>
      </c>
      <c r="R286" s="339">
        <f t="shared" si="7"/>
        <v>0</v>
      </c>
      <c r="S286" s="339">
        <f t="shared" si="8"/>
        <v>0</v>
      </c>
      <c r="T286" s="339">
        <f t="shared" si="9"/>
        <v>0</v>
      </c>
      <c r="U286" s="339">
        <f t="shared" si="10"/>
        <v>0</v>
      </c>
      <c r="V286" s="339">
        <f t="shared" si="11"/>
        <v>0</v>
      </c>
      <c r="W286" s="339">
        <f t="shared" si="12"/>
        <v>21067.919999999998</v>
      </c>
      <c r="X286" s="339">
        <f t="shared" si="13"/>
        <v>0</v>
      </c>
      <c r="Y286" s="339">
        <f t="shared" si="14"/>
        <v>0</v>
      </c>
      <c r="Z286" s="162"/>
      <c r="AA286" s="162"/>
      <c r="AB286" s="162"/>
      <c r="AC286" s="162"/>
      <c r="AD286" s="162"/>
    </row>
    <row r="287" spans="1:30">
      <c r="A287" s="838" t="s">
        <v>1590</v>
      </c>
      <c r="B287" s="169" t="s">
        <v>87</v>
      </c>
      <c r="C287" s="169" t="s">
        <v>773</v>
      </c>
      <c r="D287" s="143">
        <f t="shared" si="19"/>
        <v>2088</v>
      </c>
      <c r="E287" s="176">
        <v>1000</v>
      </c>
      <c r="F287" s="1107">
        <v>0.5</v>
      </c>
      <c r="G287" s="176">
        <v>0.25</v>
      </c>
      <c r="H287" s="172">
        <f t="shared" si="20"/>
        <v>21067.919999999998</v>
      </c>
      <c r="I287" s="162"/>
      <c r="J287" s="162"/>
      <c r="K287" s="162"/>
      <c r="L287" s="162"/>
      <c r="M287" s="162"/>
      <c r="N287" s="162"/>
      <c r="O287" s="162"/>
      <c r="P287" s="162"/>
      <c r="Q287" s="339">
        <f t="shared" si="6"/>
        <v>0</v>
      </c>
      <c r="R287" s="339">
        <f t="shared" si="7"/>
        <v>0</v>
      </c>
      <c r="S287" s="339">
        <f t="shared" si="8"/>
        <v>0</v>
      </c>
      <c r="T287" s="339">
        <f t="shared" si="9"/>
        <v>0</v>
      </c>
      <c r="U287" s="339">
        <f t="shared" si="10"/>
        <v>0</v>
      </c>
      <c r="V287" s="339">
        <f t="shared" si="11"/>
        <v>0</v>
      </c>
      <c r="W287" s="339">
        <f t="shared" si="12"/>
        <v>21067.919999999998</v>
      </c>
      <c r="X287" s="339">
        <f t="shared" si="13"/>
        <v>0</v>
      </c>
      <c r="Y287" s="339">
        <f t="shared" si="14"/>
        <v>0</v>
      </c>
      <c r="Z287" s="162"/>
      <c r="AA287" s="162"/>
      <c r="AB287" s="162"/>
      <c r="AC287" s="162"/>
      <c r="AD287" s="162"/>
    </row>
    <row r="288" spans="1:30">
      <c r="A288" s="838" t="s">
        <v>1591</v>
      </c>
      <c r="B288" s="169" t="s">
        <v>87</v>
      </c>
      <c r="C288" s="169" t="s">
        <v>773</v>
      </c>
      <c r="D288" s="143">
        <f t="shared" si="19"/>
        <v>2088</v>
      </c>
      <c r="E288" s="176">
        <v>1000</v>
      </c>
      <c r="F288" s="1107">
        <v>0.5</v>
      </c>
      <c r="G288" s="176">
        <v>0.25</v>
      </c>
      <c r="H288" s="172">
        <f t="shared" si="20"/>
        <v>21067.919999999998</v>
      </c>
      <c r="I288" s="162"/>
      <c r="J288" s="162"/>
      <c r="K288" s="162"/>
      <c r="L288" s="162"/>
      <c r="M288" s="162"/>
      <c r="N288" s="162"/>
      <c r="O288" s="162"/>
      <c r="P288" s="162"/>
      <c r="Q288" s="339">
        <f t="shared" si="6"/>
        <v>0</v>
      </c>
      <c r="R288" s="339">
        <f t="shared" si="7"/>
        <v>0</v>
      </c>
      <c r="S288" s="339">
        <f t="shared" si="8"/>
        <v>0</v>
      </c>
      <c r="T288" s="339">
        <f t="shared" si="9"/>
        <v>0</v>
      </c>
      <c r="U288" s="339">
        <f t="shared" si="10"/>
        <v>0</v>
      </c>
      <c r="V288" s="339">
        <f t="shared" si="11"/>
        <v>0</v>
      </c>
      <c r="W288" s="339">
        <f t="shared" si="12"/>
        <v>21067.919999999998</v>
      </c>
      <c r="X288" s="339">
        <f t="shared" si="13"/>
        <v>0</v>
      </c>
      <c r="Y288" s="339">
        <f t="shared" si="14"/>
        <v>0</v>
      </c>
      <c r="Z288" s="162"/>
      <c r="AA288" s="162"/>
      <c r="AB288" s="162"/>
      <c r="AC288" s="162"/>
      <c r="AD288" s="162"/>
    </row>
    <row r="289" spans="1:30">
      <c r="A289" s="838" t="s">
        <v>1592</v>
      </c>
      <c r="B289" s="169" t="s">
        <v>87</v>
      </c>
      <c r="C289" s="169" t="s">
        <v>773</v>
      </c>
      <c r="D289" s="143">
        <f t="shared" si="19"/>
        <v>2088</v>
      </c>
      <c r="E289" s="176">
        <v>1000</v>
      </c>
      <c r="F289" s="1107">
        <v>0.5</v>
      </c>
      <c r="G289" s="176">
        <v>0.25</v>
      </c>
      <c r="H289" s="172">
        <f t="shared" si="20"/>
        <v>21067.919999999998</v>
      </c>
      <c r="I289" s="162"/>
      <c r="J289" s="162"/>
      <c r="K289" s="162"/>
      <c r="L289" s="162"/>
      <c r="M289" s="162"/>
      <c r="N289" s="162"/>
      <c r="O289" s="162"/>
      <c r="P289" s="162"/>
      <c r="Q289" s="339">
        <f t="shared" si="6"/>
        <v>0</v>
      </c>
      <c r="R289" s="339">
        <f t="shared" si="7"/>
        <v>0</v>
      </c>
      <c r="S289" s="339">
        <f t="shared" si="8"/>
        <v>0</v>
      </c>
      <c r="T289" s="339">
        <f t="shared" si="9"/>
        <v>0</v>
      </c>
      <c r="U289" s="339">
        <f t="shared" si="10"/>
        <v>0</v>
      </c>
      <c r="V289" s="339">
        <f t="shared" si="11"/>
        <v>0</v>
      </c>
      <c r="W289" s="339">
        <f t="shared" si="12"/>
        <v>21067.919999999998</v>
      </c>
      <c r="X289" s="339">
        <f t="shared" si="13"/>
        <v>0</v>
      </c>
      <c r="Y289" s="339">
        <f t="shared" si="14"/>
        <v>0</v>
      </c>
      <c r="Z289" s="162"/>
      <c r="AA289" s="162"/>
      <c r="AB289" s="162"/>
      <c r="AC289" s="162"/>
      <c r="AD289" s="162"/>
    </row>
    <row r="290" spans="1:30">
      <c r="A290" s="838" t="s">
        <v>1593</v>
      </c>
      <c r="B290" s="169" t="s">
        <v>87</v>
      </c>
      <c r="C290" s="169" t="s">
        <v>773</v>
      </c>
      <c r="D290" s="143">
        <f t="shared" si="19"/>
        <v>2088</v>
      </c>
      <c r="E290" s="176">
        <v>1000</v>
      </c>
      <c r="F290" s="1107">
        <v>0.5</v>
      </c>
      <c r="G290" s="176">
        <v>0.25</v>
      </c>
      <c r="H290" s="172">
        <f t="shared" si="20"/>
        <v>21067.919999999998</v>
      </c>
      <c r="I290" s="162"/>
      <c r="J290" s="162"/>
      <c r="K290" s="162"/>
      <c r="L290" s="162"/>
      <c r="M290" s="162"/>
      <c r="N290" s="162"/>
      <c r="O290" s="162"/>
      <c r="P290" s="162"/>
      <c r="Q290" s="339">
        <f t="shared" si="6"/>
        <v>0</v>
      </c>
      <c r="R290" s="339">
        <f t="shared" si="7"/>
        <v>0</v>
      </c>
      <c r="S290" s="339">
        <f t="shared" si="8"/>
        <v>0</v>
      </c>
      <c r="T290" s="339">
        <f t="shared" si="9"/>
        <v>0</v>
      </c>
      <c r="U290" s="339">
        <f t="shared" si="10"/>
        <v>0</v>
      </c>
      <c r="V290" s="339">
        <f t="shared" si="11"/>
        <v>0</v>
      </c>
      <c r="W290" s="339">
        <f t="shared" si="12"/>
        <v>21067.919999999998</v>
      </c>
      <c r="X290" s="339">
        <f t="shared" si="13"/>
        <v>0</v>
      </c>
      <c r="Y290" s="339">
        <f t="shared" si="14"/>
        <v>0</v>
      </c>
      <c r="Z290" s="162"/>
      <c r="AA290" s="162"/>
      <c r="AB290" s="162"/>
      <c r="AC290" s="162"/>
      <c r="AD290" s="162"/>
    </row>
    <row r="291" spans="1:30">
      <c r="A291" s="838" t="s">
        <v>1594</v>
      </c>
      <c r="B291" s="169" t="s">
        <v>87</v>
      </c>
      <c r="C291" s="169" t="s">
        <v>773</v>
      </c>
      <c r="D291" s="143">
        <f t="shared" si="19"/>
        <v>2088</v>
      </c>
      <c r="E291" s="176">
        <v>1000</v>
      </c>
      <c r="F291" s="1107">
        <v>0.5</v>
      </c>
      <c r="G291" s="176">
        <v>0.25</v>
      </c>
      <c r="H291" s="172">
        <f t="shared" si="20"/>
        <v>21067.919999999998</v>
      </c>
      <c r="I291" s="162"/>
      <c r="J291" s="162"/>
      <c r="K291" s="162"/>
      <c r="L291" s="162"/>
      <c r="M291" s="162"/>
      <c r="N291" s="162"/>
      <c r="O291" s="162"/>
      <c r="P291" s="162"/>
      <c r="Q291" s="339">
        <f t="shared" si="6"/>
        <v>0</v>
      </c>
      <c r="R291" s="339">
        <f t="shared" si="7"/>
        <v>0</v>
      </c>
      <c r="S291" s="339">
        <f t="shared" si="8"/>
        <v>0</v>
      </c>
      <c r="T291" s="339">
        <f t="shared" si="9"/>
        <v>0</v>
      </c>
      <c r="U291" s="339">
        <f t="shared" si="10"/>
        <v>0</v>
      </c>
      <c r="V291" s="339">
        <f t="shared" si="11"/>
        <v>0</v>
      </c>
      <c r="W291" s="339">
        <f t="shared" si="12"/>
        <v>21067.919999999998</v>
      </c>
      <c r="X291" s="339">
        <f t="shared" si="13"/>
        <v>0</v>
      </c>
      <c r="Y291" s="339">
        <f t="shared" si="14"/>
        <v>0</v>
      </c>
      <c r="Z291" s="162"/>
      <c r="AA291" s="162"/>
      <c r="AB291" s="162"/>
      <c r="AC291" s="162"/>
      <c r="AD291" s="162"/>
    </row>
    <row r="292" spans="1:30">
      <c r="A292" s="838" t="s">
        <v>1595</v>
      </c>
      <c r="B292" s="169" t="s">
        <v>87</v>
      </c>
      <c r="C292" s="169" t="s">
        <v>773</v>
      </c>
      <c r="D292" s="143">
        <f t="shared" ref="D292:D313" si="21">IF(ISNA(VLOOKUP($C292,GWP,2,FALSE)),"", VLOOKUP($C292,GWP,2,FALSE))</f>
        <v>2088</v>
      </c>
      <c r="E292" s="176">
        <v>1000</v>
      </c>
      <c r="F292" s="1107">
        <v>0.5</v>
      </c>
      <c r="G292" s="176">
        <v>0.25</v>
      </c>
      <c r="H292" s="172">
        <f t="shared" si="20"/>
        <v>21067.919999999998</v>
      </c>
      <c r="I292" s="162"/>
      <c r="J292" s="162"/>
      <c r="K292" s="162"/>
      <c r="L292" s="162"/>
      <c r="M292" s="162"/>
      <c r="N292" s="162"/>
      <c r="O292" s="162"/>
      <c r="P292" s="162"/>
      <c r="Q292" s="339">
        <f t="shared" si="6"/>
        <v>0</v>
      </c>
      <c r="R292" s="339">
        <f t="shared" si="7"/>
        <v>0</v>
      </c>
      <c r="S292" s="339">
        <f t="shared" si="8"/>
        <v>0</v>
      </c>
      <c r="T292" s="339">
        <f t="shared" si="9"/>
        <v>0</v>
      </c>
      <c r="U292" s="339">
        <f t="shared" si="10"/>
        <v>0</v>
      </c>
      <c r="V292" s="339">
        <f t="shared" si="11"/>
        <v>0</v>
      </c>
      <c r="W292" s="339">
        <f t="shared" si="12"/>
        <v>21067.919999999998</v>
      </c>
      <c r="X292" s="339">
        <f t="shared" si="13"/>
        <v>0</v>
      </c>
      <c r="Y292" s="339">
        <f t="shared" si="14"/>
        <v>0</v>
      </c>
      <c r="Z292" s="162"/>
      <c r="AA292" s="162"/>
      <c r="AB292" s="162"/>
      <c r="AC292" s="162"/>
      <c r="AD292" s="162"/>
    </row>
    <row r="293" spans="1:30">
      <c r="A293" s="838" t="s">
        <v>1596</v>
      </c>
      <c r="B293" s="169" t="s">
        <v>87</v>
      </c>
      <c r="C293" s="169" t="s">
        <v>773</v>
      </c>
      <c r="D293" s="143">
        <f t="shared" si="21"/>
        <v>2088</v>
      </c>
      <c r="E293" s="176">
        <v>1000</v>
      </c>
      <c r="F293" s="1107">
        <v>0.5</v>
      </c>
      <c r="G293" s="176">
        <v>0.25</v>
      </c>
      <c r="H293" s="172">
        <f t="shared" si="20"/>
        <v>21067.919999999998</v>
      </c>
      <c r="I293" s="162"/>
      <c r="J293" s="162"/>
      <c r="K293" s="162"/>
      <c r="L293" s="162"/>
      <c r="M293" s="162"/>
      <c r="N293" s="162"/>
      <c r="O293" s="162"/>
      <c r="P293" s="162"/>
      <c r="Q293" s="339">
        <f t="shared" si="6"/>
        <v>0</v>
      </c>
      <c r="R293" s="339">
        <f t="shared" si="7"/>
        <v>0</v>
      </c>
      <c r="S293" s="339">
        <f t="shared" si="8"/>
        <v>0</v>
      </c>
      <c r="T293" s="339">
        <f t="shared" si="9"/>
        <v>0</v>
      </c>
      <c r="U293" s="339">
        <f t="shared" si="10"/>
        <v>0</v>
      </c>
      <c r="V293" s="339">
        <f t="shared" si="11"/>
        <v>0</v>
      </c>
      <c r="W293" s="339">
        <f t="shared" si="12"/>
        <v>21067.919999999998</v>
      </c>
      <c r="X293" s="339">
        <f t="shared" si="13"/>
        <v>0</v>
      </c>
      <c r="Y293" s="339">
        <f t="shared" si="14"/>
        <v>0</v>
      </c>
      <c r="Z293" s="162"/>
      <c r="AA293" s="162"/>
      <c r="AB293" s="162"/>
      <c r="AC293" s="162"/>
      <c r="AD293" s="162"/>
    </row>
    <row r="294" spans="1:30">
      <c r="A294" s="838" t="s">
        <v>1597</v>
      </c>
      <c r="B294" s="169" t="s">
        <v>87</v>
      </c>
      <c r="C294" s="169" t="s">
        <v>773</v>
      </c>
      <c r="D294" s="143">
        <f t="shared" si="21"/>
        <v>2088</v>
      </c>
      <c r="E294" s="176">
        <v>1000</v>
      </c>
      <c r="F294" s="1107">
        <v>0.5</v>
      </c>
      <c r="G294" s="176">
        <v>0.25</v>
      </c>
      <c r="H294" s="172">
        <f t="shared" si="20"/>
        <v>21067.919999999998</v>
      </c>
      <c r="I294" s="162"/>
      <c r="J294" s="162"/>
      <c r="K294" s="162"/>
      <c r="L294" s="162"/>
      <c r="M294" s="162"/>
      <c r="N294" s="162"/>
      <c r="O294" s="162"/>
      <c r="P294" s="162"/>
      <c r="Q294" s="339">
        <f t="shared" si="6"/>
        <v>0</v>
      </c>
      <c r="R294" s="339">
        <f t="shared" si="7"/>
        <v>0</v>
      </c>
      <c r="S294" s="339">
        <f t="shared" si="8"/>
        <v>0</v>
      </c>
      <c r="T294" s="339">
        <f t="shared" si="9"/>
        <v>0</v>
      </c>
      <c r="U294" s="339">
        <f t="shared" si="10"/>
        <v>0</v>
      </c>
      <c r="V294" s="339">
        <f t="shared" si="11"/>
        <v>0</v>
      </c>
      <c r="W294" s="339">
        <f t="shared" si="12"/>
        <v>21067.919999999998</v>
      </c>
      <c r="X294" s="339">
        <f t="shared" si="13"/>
        <v>0</v>
      </c>
      <c r="Y294" s="339">
        <f t="shared" si="14"/>
        <v>0</v>
      </c>
      <c r="Z294" s="162"/>
      <c r="AA294" s="162"/>
      <c r="AB294" s="162"/>
      <c r="AC294" s="162"/>
      <c r="AD294" s="162"/>
    </row>
    <row r="295" spans="1:30">
      <c r="A295" s="838" t="s">
        <v>1598</v>
      </c>
      <c r="B295" s="169" t="s">
        <v>87</v>
      </c>
      <c r="C295" s="169" t="s">
        <v>773</v>
      </c>
      <c r="D295" s="143">
        <f t="shared" si="21"/>
        <v>2088</v>
      </c>
      <c r="E295" s="176">
        <v>1000</v>
      </c>
      <c r="F295" s="1107">
        <v>0.5</v>
      </c>
      <c r="G295" s="176">
        <v>0.25</v>
      </c>
      <c r="H295" s="172">
        <f t="shared" ref="H295:H313" si="22">IF($D295="","",SUM($Q295:$Y295))</f>
        <v>21067.919999999998</v>
      </c>
      <c r="I295" s="162"/>
      <c r="J295" s="162"/>
      <c r="K295" s="162"/>
      <c r="L295" s="162"/>
      <c r="M295" s="162"/>
      <c r="N295" s="162"/>
      <c r="O295" s="162"/>
      <c r="P295" s="162"/>
      <c r="Q295" s="339">
        <f t="shared" si="6"/>
        <v>0</v>
      </c>
      <c r="R295" s="339">
        <f t="shared" si="7"/>
        <v>0</v>
      </c>
      <c r="S295" s="339">
        <f t="shared" si="8"/>
        <v>0</v>
      </c>
      <c r="T295" s="339">
        <f t="shared" si="9"/>
        <v>0</v>
      </c>
      <c r="U295" s="339">
        <f t="shared" si="10"/>
        <v>0</v>
      </c>
      <c r="V295" s="339">
        <f t="shared" si="11"/>
        <v>0</v>
      </c>
      <c r="W295" s="339">
        <f t="shared" si="12"/>
        <v>21067.919999999998</v>
      </c>
      <c r="X295" s="339">
        <f t="shared" si="13"/>
        <v>0</v>
      </c>
      <c r="Y295" s="339">
        <f t="shared" si="14"/>
        <v>0</v>
      </c>
      <c r="Z295" s="162"/>
      <c r="AA295" s="162"/>
      <c r="AB295" s="162"/>
      <c r="AC295" s="162"/>
      <c r="AD295" s="162"/>
    </row>
    <row r="296" spans="1:30">
      <c r="A296" s="838" t="s">
        <v>1599</v>
      </c>
      <c r="B296" s="169" t="s">
        <v>87</v>
      </c>
      <c r="C296" s="169" t="s">
        <v>773</v>
      </c>
      <c r="D296" s="143">
        <f t="shared" si="21"/>
        <v>2088</v>
      </c>
      <c r="E296" s="176">
        <v>1000</v>
      </c>
      <c r="F296" s="1107">
        <v>0.5</v>
      </c>
      <c r="G296" s="176">
        <v>0.25</v>
      </c>
      <c r="H296" s="172">
        <f t="shared" si="22"/>
        <v>21067.919999999998</v>
      </c>
      <c r="I296" s="162"/>
      <c r="J296" s="162"/>
      <c r="K296" s="162"/>
      <c r="L296" s="162"/>
      <c r="M296" s="162"/>
      <c r="N296" s="162"/>
      <c r="O296" s="162"/>
      <c r="P296" s="162"/>
      <c r="Q296" s="339">
        <f t="shared" si="6"/>
        <v>0</v>
      </c>
      <c r="R296" s="339">
        <f t="shared" si="7"/>
        <v>0</v>
      </c>
      <c r="S296" s="339">
        <f t="shared" si="8"/>
        <v>0</v>
      </c>
      <c r="T296" s="339">
        <f t="shared" si="9"/>
        <v>0</v>
      </c>
      <c r="U296" s="339">
        <f t="shared" si="10"/>
        <v>0</v>
      </c>
      <c r="V296" s="339">
        <f t="shared" si="11"/>
        <v>0</v>
      </c>
      <c r="W296" s="339">
        <f t="shared" si="12"/>
        <v>21067.919999999998</v>
      </c>
      <c r="X296" s="339">
        <f t="shared" si="13"/>
        <v>0</v>
      </c>
      <c r="Y296" s="339">
        <f t="shared" si="14"/>
        <v>0</v>
      </c>
      <c r="Z296" s="162"/>
      <c r="AA296" s="162"/>
      <c r="AB296" s="162"/>
      <c r="AC296" s="162"/>
      <c r="AD296" s="162"/>
    </row>
    <row r="297" spans="1:30">
      <c r="A297" s="838" t="s">
        <v>1600</v>
      </c>
      <c r="B297" s="169" t="s">
        <v>87</v>
      </c>
      <c r="C297" s="169" t="s">
        <v>773</v>
      </c>
      <c r="D297" s="143">
        <f t="shared" si="21"/>
        <v>2088</v>
      </c>
      <c r="E297" s="176">
        <v>1000</v>
      </c>
      <c r="F297" s="1107">
        <v>0.5</v>
      </c>
      <c r="G297" s="176">
        <v>0.25</v>
      </c>
      <c r="H297" s="172">
        <f t="shared" si="22"/>
        <v>21067.919999999998</v>
      </c>
      <c r="I297" s="162"/>
      <c r="J297" s="162"/>
      <c r="K297" s="162"/>
      <c r="L297" s="162"/>
      <c r="M297" s="162"/>
      <c r="N297" s="162"/>
      <c r="O297" s="162"/>
      <c r="P297" s="162"/>
      <c r="Q297" s="339">
        <f t="shared" si="6"/>
        <v>0</v>
      </c>
      <c r="R297" s="339">
        <f t="shared" si="7"/>
        <v>0</v>
      </c>
      <c r="S297" s="339">
        <f t="shared" si="8"/>
        <v>0</v>
      </c>
      <c r="T297" s="339">
        <f t="shared" si="9"/>
        <v>0</v>
      </c>
      <c r="U297" s="339">
        <f t="shared" si="10"/>
        <v>0</v>
      </c>
      <c r="V297" s="339">
        <f t="shared" si="11"/>
        <v>0</v>
      </c>
      <c r="W297" s="339">
        <f t="shared" si="12"/>
        <v>21067.919999999998</v>
      </c>
      <c r="X297" s="339">
        <f t="shared" si="13"/>
        <v>0</v>
      </c>
      <c r="Y297" s="339">
        <f t="shared" si="14"/>
        <v>0</v>
      </c>
      <c r="Z297" s="162"/>
      <c r="AA297" s="162"/>
      <c r="AB297" s="162"/>
      <c r="AC297" s="162"/>
      <c r="AD297" s="162"/>
    </row>
    <row r="298" spans="1:30">
      <c r="A298" s="838" t="s">
        <v>1601</v>
      </c>
      <c r="B298" s="169" t="s">
        <v>87</v>
      </c>
      <c r="C298" s="169" t="s">
        <v>773</v>
      </c>
      <c r="D298" s="143">
        <f t="shared" si="21"/>
        <v>2088</v>
      </c>
      <c r="E298" s="176">
        <v>1000</v>
      </c>
      <c r="F298" s="1107">
        <v>0.5</v>
      </c>
      <c r="G298" s="176">
        <v>0.25</v>
      </c>
      <c r="H298" s="172">
        <f t="shared" si="22"/>
        <v>21067.919999999998</v>
      </c>
      <c r="I298" s="162"/>
      <c r="J298" s="162"/>
      <c r="K298" s="162"/>
      <c r="L298" s="162"/>
      <c r="M298" s="162"/>
      <c r="N298" s="162"/>
      <c r="O298" s="162"/>
      <c r="P298" s="162"/>
      <c r="Q298" s="339">
        <f t="shared" si="6"/>
        <v>0</v>
      </c>
      <c r="R298" s="339">
        <f t="shared" si="7"/>
        <v>0</v>
      </c>
      <c r="S298" s="339">
        <f t="shared" si="8"/>
        <v>0</v>
      </c>
      <c r="T298" s="339">
        <f t="shared" si="9"/>
        <v>0</v>
      </c>
      <c r="U298" s="339">
        <f t="shared" si="10"/>
        <v>0</v>
      </c>
      <c r="V298" s="339">
        <f t="shared" si="11"/>
        <v>0</v>
      </c>
      <c r="W298" s="339">
        <f t="shared" si="12"/>
        <v>21067.919999999998</v>
      </c>
      <c r="X298" s="339">
        <f t="shared" si="13"/>
        <v>0</v>
      </c>
      <c r="Y298" s="339">
        <f t="shared" si="14"/>
        <v>0</v>
      </c>
      <c r="Z298" s="162"/>
      <c r="AA298" s="162"/>
      <c r="AB298" s="162"/>
      <c r="AC298" s="162"/>
      <c r="AD298" s="162"/>
    </row>
    <row r="299" spans="1:30">
      <c r="A299" s="838" t="s">
        <v>1602</v>
      </c>
      <c r="B299" s="169" t="s">
        <v>87</v>
      </c>
      <c r="C299" s="169" t="s">
        <v>773</v>
      </c>
      <c r="D299" s="143">
        <f t="shared" si="21"/>
        <v>2088</v>
      </c>
      <c r="E299" s="176">
        <v>1000</v>
      </c>
      <c r="F299" s="1107">
        <v>0.5</v>
      </c>
      <c r="G299" s="176">
        <v>0.25</v>
      </c>
      <c r="H299" s="172">
        <f t="shared" si="22"/>
        <v>21067.919999999998</v>
      </c>
      <c r="I299" s="162"/>
      <c r="J299" s="162"/>
      <c r="K299" s="162"/>
      <c r="L299" s="162"/>
      <c r="M299" s="162"/>
      <c r="N299" s="162"/>
      <c r="O299" s="162"/>
      <c r="P299" s="162"/>
      <c r="Q299" s="339">
        <f t="shared" si="6"/>
        <v>0</v>
      </c>
      <c r="R299" s="339">
        <f t="shared" si="7"/>
        <v>0</v>
      </c>
      <c r="S299" s="339">
        <f t="shared" si="8"/>
        <v>0</v>
      </c>
      <c r="T299" s="339">
        <f t="shared" si="9"/>
        <v>0</v>
      </c>
      <c r="U299" s="339">
        <f t="shared" si="10"/>
        <v>0</v>
      </c>
      <c r="V299" s="339">
        <f t="shared" si="11"/>
        <v>0</v>
      </c>
      <c r="W299" s="339">
        <f t="shared" si="12"/>
        <v>21067.919999999998</v>
      </c>
      <c r="X299" s="339">
        <f t="shared" si="13"/>
        <v>0</v>
      </c>
      <c r="Y299" s="339">
        <f t="shared" si="14"/>
        <v>0</v>
      </c>
      <c r="Z299" s="162"/>
      <c r="AA299" s="162"/>
      <c r="AB299" s="162"/>
      <c r="AC299" s="162"/>
      <c r="AD299" s="162"/>
    </row>
    <row r="300" spans="1:30">
      <c r="A300" s="838" t="s">
        <v>1603</v>
      </c>
      <c r="B300" s="169" t="s">
        <v>87</v>
      </c>
      <c r="C300" s="169" t="s">
        <v>773</v>
      </c>
      <c r="D300" s="143">
        <f t="shared" si="21"/>
        <v>2088</v>
      </c>
      <c r="E300" s="176">
        <v>1000</v>
      </c>
      <c r="F300" s="1107">
        <v>0.5</v>
      </c>
      <c r="G300" s="176">
        <v>0.25</v>
      </c>
      <c r="H300" s="172">
        <f t="shared" si="22"/>
        <v>21067.919999999998</v>
      </c>
      <c r="I300" s="162"/>
      <c r="J300" s="162"/>
      <c r="K300" s="162"/>
      <c r="L300" s="162"/>
      <c r="M300" s="162"/>
      <c r="N300" s="162"/>
      <c r="O300" s="162"/>
      <c r="P300" s="162"/>
      <c r="Q300" s="339">
        <f t="shared" si="6"/>
        <v>0</v>
      </c>
      <c r="R300" s="339">
        <f t="shared" si="7"/>
        <v>0</v>
      </c>
      <c r="S300" s="339">
        <f t="shared" si="8"/>
        <v>0</v>
      </c>
      <c r="T300" s="339">
        <f t="shared" si="9"/>
        <v>0</v>
      </c>
      <c r="U300" s="339">
        <f t="shared" si="10"/>
        <v>0</v>
      </c>
      <c r="V300" s="339">
        <f t="shared" si="11"/>
        <v>0</v>
      </c>
      <c r="W300" s="339">
        <f t="shared" si="12"/>
        <v>21067.919999999998</v>
      </c>
      <c r="X300" s="339">
        <f t="shared" si="13"/>
        <v>0</v>
      </c>
      <c r="Y300" s="339">
        <f t="shared" si="14"/>
        <v>0</v>
      </c>
      <c r="Z300" s="162"/>
      <c r="AA300" s="162"/>
      <c r="AB300" s="162"/>
      <c r="AC300" s="162"/>
      <c r="AD300" s="162"/>
    </row>
    <row r="301" spans="1:30">
      <c r="A301" s="838" t="s">
        <v>1604</v>
      </c>
      <c r="B301" s="169" t="s">
        <v>87</v>
      </c>
      <c r="C301" s="169" t="s">
        <v>773</v>
      </c>
      <c r="D301" s="143">
        <f t="shared" si="21"/>
        <v>2088</v>
      </c>
      <c r="E301" s="176">
        <v>1000</v>
      </c>
      <c r="F301" s="1107">
        <v>0.5</v>
      </c>
      <c r="G301" s="176">
        <v>0.25</v>
      </c>
      <c r="H301" s="172">
        <f t="shared" si="22"/>
        <v>21067.919999999998</v>
      </c>
      <c r="I301" s="162"/>
      <c r="J301" s="162"/>
      <c r="K301" s="162"/>
      <c r="L301" s="162"/>
      <c r="M301" s="162"/>
      <c r="N301" s="162"/>
      <c r="O301" s="162"/>
      <c r="P301" s="162"/>
      <c r="Q301" s="339">
        <f t="shared" si="6"/>
        <v>0</v>
      </c>
      <c r="R301" s="339">
        <f t="shared" si="7"/>
        <v>0</v>
      </c>
      <c r="S301" s="339">
        <f t="shared" si="8"/>
        <v>0</v>
      </c>
      <c r="T301" s="339">
        <f t="shared" si="9"/>
        <v>0</v>
      </c>
      <c r="U301" s="339">
        <f t="shared" si="10"/>
        <v>0</v>
      </c>
      <c r="V301" s="339">
        <f t="shared" si="11"/>
        <v>0</v>
      </c>
      <c r="W301" s="339">
        <f t="shared" si="12"/>
        <v>21067.919999999998</v>
      </c>
      <c r="X301" s="339">
        <f t="shared" si="13"/>
        <v>0</v>
      </c>
      <c r="Y301" s="339">
        <f t="shared" si="14"/>
        <v>0</v>
      </c>
      <c r="Z301" s="162"/>
      <c r="AA301" s="162"/>
      <c r="AB301" s="162"/>
      <c r="AC301" s="162"/>
      <c r="AD301" s="162"/>
    </row>
    <row r="302" spans="1:30">
      <c r="A302" s="838" t="s">
        <v>1605</v>
      </c>
      <c r="B302" s="169" t="s">
        <v>87</v>
      </c>
      <c r="C302" s="169" t="s">
        <v>773</v>
      </c>
      <c r="D302" s="143">
        <f t="shared" si="21"/>
        <v>2088</v>
      </c>
      <c r="E302" s="176">
        <v>1000</v>
      </c>
      <c r="F302" s="1107">
        <v>0.5</v>
      </c>
      <c r="G302" s="176">
        <v>0.25</v>
      </c>
      <c r="H302" s="172">
        <f t="shared" si="22"/>
        <v>21067.919999999998</v>
      </c>
      <c r="I302" s="162"/>
      <c r="J302" s="162"/>
      <c r="K302" s="162"/>
      <c r="L302" s="162"/>
      <c r="M302" s="162"/>
      <c r="N302" s="162"/>
      <c r="O302" s="162"/>
      <c r="P302" s="162"/>
      <c r="Q302" s="339">
        <f t="shared" si="6"/>
        <v>0</v>
      </c>
      <c r="R302" s="339">
        <f t="shared" si="7"/>
        <v>0</v>
      </c>
      <c r="S302" s="339">
        <f t="shared" si="8"/>
        <v>0</v>
      </c>
      <c r="T302" s="339">
        <f t="shared" si="9"/>
        <v>0</v>
      </c>
      <c r="U302" s="339">
        <f t="shared" si="10"/>
        <v>0</v>
      </c>
      <c r="V302" s="339">
        <f t="shared" si="11"/>
        <v>0</v>
      </c>
      <c r="W302" s="339">
        <f t="shared" si="12"/>
        <v>21067.919999999998</v>
      </c>
      <c r="X302" s="339">
        <f t="shared" si="13"/>
        <v>0</v>
      </c>
      <c r="Y302" s="339">
        <f t="shared" si="14"/>
        <v>0</v>
      </c>
      <c r="Z302" s="162"/>
      <c r="AA302" s="162"/>
      <c r="AB302" s="162"/>
      <c r="AC302" s="162"/>
      <c r="AD302" s="162"/>
    </row>
    <row r="303" spans="1:30">
      <c r="A303" s="838" t="s">
        <v>1606</v>
      </c>
      <c r="B303" s="169" t="s">
        <v>87</v>
      </c>
      <c r="C303" s="169" t="s">
        <v>773</v>
      </c>
      <c r="D303" s="143">
        <f t="shared" si="21"/>
        <v>2088</v>
      </c>
      <c r="E303" s="176">
        <v>1000</v>
      </c>
      <c r="F303" s="1107">
        <v>0.5</v>
      </c>
      <c r="G303" s="176">
        <v>0.25</v>
      </c>
      <c r="H303" s="172">
        <f t="shared" si="22"/>
        <v>21067.919999999998</v>
      </c>
      <c r="I303" s="162"/>
      <c r="J303" s="162"/>
      <c r="K303" s="162"/>
      <c r="L303" s="162"/>
      <c r="M303" s="162"/>
      <c r="N303" s="162"/>
      <c r="O303" s="162"/>
      <c r="P303" s="162"/>
      <c r="Q303" s="339">
        <f t="shared" si="6"/>
        <v>0</v>
      </c>
      <c r="R303" s="339">
        <f t="shared" si="7"/>
        <v>0</v>
      </c>
      <c r="S303" s="339">
        <f t="shared" si="8"/>
        <v>0</v>
      </c>
      <c r="T303" s="339">
        <f t="shared" si="9"/>
        <v>0</v>
      </c>
      <c r="U303" s="339">
        <f t="shared" si="10"/>
        <v>0</v>
      </c>
      <c r="V303" s="339">
        <f t="shared" si="11"/>
        <v>0</v>
      </c>
      <c r="W303" s="339">
        <f t="shared" si="12"/>
        <v>21067.919999999998</v>
      </c>
      <c r="X303" s="339">
        <f t="shared" si="13"/>
        <v>0</v>
      </c>
      <c r="Y303" s="339">
        <f t="shared" si="14"/>
        <v>0</v>
      </c>
      <c r="Z303" s="162"/>
      <c r="AA303" s="162"/>
      <c r="AB303" s="162"/>
      <c r="AC303" s="162"/>
      <c r="AD303" s="162"/>
    </row>
    <row r="304" spans="1:30">
      <c r="A304" s="838" t="s">
        <v>1607</v>
      </c>
      <c r="B304" s="169" t="s">
        <v>87</v>
      </c>
      <c r="C304" s="169" t="s">
        <v>773</v>
      </c>
      <c r="D304" s="143">
        <f t="shared" si="21"/>
        <v>2088</v>
      </c>
      <c r="E304" s="176">
        <v>1000</v>
      </c>
      <c r="F304" s="1107">
        <v>0.5</v>
      </c>
      <c r="G304" s="176">
        <v>0.25</v>
      </c>
      <c r="H304" s="172">
        <f t="shared" si="22"/>
        <v>21067.919999999998</v>
      </c>
      <c r="I304" s="162"/>
      <c r="J304" s="162"/>
      <c r="K304" s="162"/>
      <c r="L304" s="162"/>
      <c r="M304" s="162"/>
      <c r="N304" s="162"/>
      <c r="O304" s="162"/>
      <c r="P304" s="162"/>
      <c r="Q304" s="339">
        <f t="shared" si="6"/>
        <v>0</v>
      </c>
      <c r="R304" s="339">
        <f t="shared" si="7"/>
        <v>0</v>
      </c>
      <c r="S304" s="339">
        <f t="shared" si="8"/>
        <v>0</v>
      </c>
      <c r="T304" s="339">
        <f t="shared" si="9"/>
        <v>0</v>
      </c>
      <c r="U304" s="339">
        <f t="shared" si="10"/>
        <v>0</v>
      </c>
      <c r="V304" s="339">
        <f t="shared" si="11"/>
        <v>0</v>
      </c>
      <c r="W304" s="339">
        <f t="shared" si="12"/>
        <v>21067.919999999998</v>
      </c>
      <c r="X304" s="339">
        <f t="shared" si="13"/>
        <v>0</v>
      </c>
      <c r="Y304" s="339">
        <f t="shared" si="14"/>
        <v>0</v>
      </c>
      <c r="Z304" s="162"/>
      <c r="AA304" s="162"/>
      <c r="AB304" s="162"/>
      <c r="AC304" s="162"/>
      <c r="AD304" s="162"/>
    </row>
    <row r="305" spans="1:30">
      <c r="A305" s="838" t="s">
        <v>1608</v>
      </c>
      <c r="B305" s="169" t="s">
        <v>87</v>
      </c>
      <c r="C305" s="169" t="s">
        <v>773</v>
      </c>
      <c r="D305" s="143">
        <f t="shared" si="21"/>
        <v>2088</v>
      </c>
      <c r="E305" s="176">
        <v>1000</v>
      </c>
      <c r="F305" s="1107">
        <v>0.5</v>
      </c>
      <c r="G305" s="176">
        <v>0.25</v>
      </c>
      <c r="H305" s="172">
        <f t="shared" si="22"/>
        <v>21067.919999999998</v>
      </c>
      <c r="I305" s="162"/>
      <c r="J305" s="162"/>
      <c r="K305" s="162"/>
      <c r="L305" s="162"/>
      <c r="M305" s="162"/>
      <c r="N305" s="162"/>
      <c r="O305" s="162"/>
      <c r="P305" s="162"/>
      <c r="Q305" s="339">
        <f t="shared" si="6"/>
        <v>0</v>
      </c>
      <c r="R305" s="339">
        <f t="shared" si="7"/>
        <v>0</v>
      </c>
      <c r="S305" s="339">
        <f t="shared" si="8"/>
        <v>0</v>
      </c>
      <c r="T305" s="339">
        <f t="shared" si="9"/>
        <v>0</v>
      </c>
      <c r="U305" s="339">
        <f t="shared" si="10"/>
        <v>0</v>
      </c>
      <c r="V305" s="339">
        <f t="shared" si="11"/>
        <v>0</v>
      </c>
      <c r="W305" s="339">
        <f t="shared" si="12"/>
        <v>21067.919999999998</v>
      </c>
      <c r="X305" s="339">
        <f t="shared" si="13"/>
        <v>0</v>
      </c>
      <c r="Y305" s="339">
        <f t="shared" si="14"/>
        <v>0</v>
      </c>
      <c r="Z305" s="162"/>
      <c r="AA305" s="162"/>
      <c r="AB305" s="162"/>
      <c r="AC305" s="162"/>
      <c r="AD305" s="162"/>
    </row>
    <row r="306" spans="1:30">
      <c r="A306" s="838" t="s">
        <v>1609</v>
      </c>
      <c r="B306" s="169" t="s">
        <v>87</v>
      </c>
      <c r="C306" s="169" t="s">
        <v>773</v>
      </c>
      <c r="D306" s="143">
        <f t="shared" si="21"/>
        <v>2088</v>
      </c>
      <c r="E306" s="176">
        <v>1000</v>
      </c>
      <c r="F306" s="1107">
        <v>0.5</v>
      </c>
      <c r="G306" s="176">
        <v>0.25</v>
      </c>
      <c r="H306" s="172">
        <f t="shared" si="22"/>
        <v>21067.919999999998</v>
      </c>
      <c r="I306" s="162"/>
      <c r="J306" s="162"/>
      <c r="K306" s="162"/>
      <c r="L306" s="162"/>
      <c r="M306" s="162"/>
      <c r="N306" s="162"/>
      <c r="O306" s="162"/>
      <c r="P306" s="162"/>
      <c r="Q306" s="339">
        <f t="shared" si="6"/>
        <v>0</v>
      </c>
      <c r="R306" s="339">
        <f t="shared" si="7"/>
        <v>0</v>
      </c>
      <c r="S306" s="339">
        <f t="shared" si="8"/>
        <v>0</v>
      </c>
      <c r="T306" s="339">
        <f t="shared" si="9"/>
        <v>0</v>
      </c>
      <c r="U306" s="339">
        <f t="shared" si="10"/>
        <v>0</v>
      </c>
      <c r="V306" s="339">
        <f t="shared" si="11"/>
        <v>0</v>
      </c>
      <c r="W306" s="339">
        <f t="shared" si="12"/>
        <v>21067.919999999998</v>
      </c>
      <c r="X306" s="339">
        <f t="shared" si="13"/>
        <v>0</v>
      </c>
      <c r="Y306" s="339">
        <f t="shared" si="14"/>
        <v>0</v>
      </c>
      <c r="Z306" s="162"/>
      <c r="AA306" s="162"/>
      <c r="AB306" s="162"/>
      <c r="AC306" s="162"/>
      <c r="AD306" s="162"/>
    </row>
    <row r="307" spans="1:30">
      <c r="A307" s="838" t="s">
        <v>1610</v>
      </c>
      <c r="B307" s="169" t="s">
        <v>87</v>
      </c>
      <c r="C307" s="169" t="s">
        <v>773</v>
      </c>
      <c r="D307" s="143">
        <f t="shared" si="21"/>
        <v>2088</v>
      </c>
      <c r="E307" s="176">
        <v>1000</v>
      </c>
      <c r="F307" s="1107">
        <v>0.5</v>
      </c>
      <c r="G307" s="176">
        <v>0.25</v>
      </c>
      <c r="H307" s="172">
        <f t="shared" si="22"/>
        <v>21067.919999999998</v>
      </c>
      <c r="I307" s="162"/>
      <c r="J307" s="162"/>
      <c r="K307" s="162"/>
      <c r="L307" s="162"/>
      <c r="M307" s="162"/>
      <c r="N307" s="162"/>
      <c r="O307" s="162"/>
      <c r="P307" s="162"/>
      <c r="Q307" s="339">
        <f t="shared" si="6"/>
        <v>0</v>
      </c>
      <c r="R307" s="339">
        <f t="shared" si="7"/>
        <v>0</v>
      </c>
      <c r="S307" s="339">
        <f t="shared" si="8"/>
        <v>0</v>
      </c>
      <c r="T307" s="339">
        <f t="shared" si="9"/>
        <v>0</v>
      </c>
      <c r="U307" s="339">
        <f t="shared" si="10"/>
        <v>0</v>
      </c>
      <c r="V307" s="339">
        <f t="shared" si="11"/>
        <v>0</v>
      </c>
      <c r="W307" s="339">
        <f t="shared" si="12"/>
        <v>21067.919999999998</v>
      </c>
      <c r="X307" s="339">
        <f t="shared" si="13"/>
        <v>0</v>
      </c>
      <c r="Y307" s="339">
        <f t="shared" si="14"/>
        <v>0</v>
      </c>
      <c r="Z307" s="162"/>
      <c r="AA307" s="162"/>
      <c r="AB307" s="162"/>
      <c r="AC307" s="162"/>
      <c r="AD307" s="162"/>
    </row>
    <row r="308" spans="1:30">
      <c r="A308" s="838" t="s">
        <v>1611</v>
      </c>
      <c r="B308" s="169" t="s">
        <v>87</v>
      </c>
      <c r="C308" s="169" t="s">
        <v>773</v>
      </c>
      <c r="D308" s="143">
        <f t="shared" si="21"/>
        <v>2088</v>
      </c>
      <c r="E308" s="176">
        <v>1000</v>
      </c>
      <c r="F308" s="1107">
        <v>0.5</v>
      </c>
      <c r="G308" s="176">
        <v>0.25</v>
      </c>
      <c r="H308" s="172">
        <f t="shared" si="22"/>
        <v>21067.919999999998</v>
      </c>
      <c r="I308" s="162"/>
      <c r="J308" s="162"/>
      <c r="K308" s="162"/>
      <c r="L308" s="162"/>
      <c r="M308" s="162"/>
      <c r="N308" s="162"/>
      <c r="O308" s="162"/>
      <c r="P308" s="162"/>
      <c r="Q308" s="339">
        <f t="shared" si="6"/>
        <v>0</v>
      </c>
      <c r="R308" s="339">
        <f t="shared" si="7"/>
        <v>0</v>
      </c>
      <c r="S308" s="339">
        <f t="shared" si="8"/>
        <v>0</v>
      </c>
      <c r="T308" s="339">
        <f t="shared" si="9"/>
        <v>0</v>
      </c>
      <c r="U308" s="339">
        <f t="shared" si="10"/>
        <v>0</v>
      </c>
      <c r="V308" s="339">
        <f t="shared" si="11"/>
        <v>0</v>
      </c>
      <c r="W308" s="339">
        <f t="shared" si="12"/>
        <v>21067.919999999998</v>
      </c>
      <c r="X308" s="339">
        <f t="shared" si="13"/>
        <v>0</v>
      </c>
      <c r="Y308" s="339">
        <f t="shared" si="14"/>
        <v>0</v>
      </c>
      <c r="Z308" s="162"/>
      <c r="AA308" s="162"/>
      <c r="AB308" s="162"/>
      <c r="AC308" s="162"/>
      <c r="AD308" s="162"/>
    </row>
    <row r="309" spans="1:30">
      <c r="A309" s="838" t="s">
        <v>1612</v>
      </c>
      <c r="B309" s="169" t="s">
        <v>87</v>
      </c>
      <c r="C309" s="169" t="s">
        <v>773</v>
      </c>
      <c r="D309" s="143">
        <f t="shared" si="21"/>
        <v>2088</v>
      </c>
      <c r="E309" s="176">
        <v>1000</v>
      </c>
      <c r="F309" s="1107">
        <v>0.5</v>
      </c>
      <c r="G309" s="176">
        <v>0.25</v>
      </c>
      <c r="H309" s="172">
        <f t="shared" si="22"/>
        <v>21067.919999999998</v>
      </c>
      <c r="I309" s="162"/>
      <c r="J309" s="162"/>
      <c r="K309" s="162"/>
      <c r="L309" s="162"/>
      <c r="M309" s="162"/>
      <c r="N309" s="162"/>
      <c r="O309" s="162"/>
      <c r="P309" s="162"/>
      <c r="Q309" s="339">
        <f t="shared" si="6"/>
        <v>0</v>
      </c>
      <c r="R309" s="339">
        <f t="shared" si="7"/>
        <v>0</v>
      </c>
      <c r="S309" s="339">
        <f t="shared" si="8"/>
        <v>0</v>
      </c>
      <c r="T309" s="339">
        <f t="shared" si="9"/>
        <v>0</v>
      </c>
      <c r="U309" s="339">
        <f t="shared" si="10"/>
        <v>0</v>
      </c>
      <c r="V309" s="339">
        <f t="shared" si="11"/>
        <v>0</v>
      </c>
      <c r="W309" s="339">
        <f t="shared" si="12"/>
        <v>21067.919999999998</v>
      </c>
      <c r="X309" s="339">
        <f t="shared" si="13"/>
        <v>0</v>
      </c>
      <c r="Y309" s="339">
        <f t="shared" si="14"/>
        <v>0</v>
      </c>
      <c r="Z309" s="162"/>
      <c r="AA309" s="162"/>
      <c r="AB309" s="162"/>
      <c r="AC309" s="162"/>
      <c r="AD309" s="162"/>
    </row>
    <row r="310" spans="1:30">
      <c r="A310" s="838" t="s">
        <v>1613</v>
      </c>
      <c r="B310" s="169" t="s">
        <v>87</v>
      </c>
      <c r="C310" s="169" t="s">
        <v>773</v>
      </c>
      <c r="D310" s="143">
        <f t="shared" si="21"/>
        <v>2088</v>
      </c>
      <c r="E310" s="176">
        <v>1000</v>
      </c>
      <c r="F310" s="1107">
        <v>0.5</v>
      </c>
      <c r="G310" s="176">
        <v>0.25</v>
      </c>
      <c r="H310" s="172">
        <f t="shared" si="22"/>
        <v>21067.919999999998</v>
      </c>
      <c r="I310" s="162"/>
      <c r="J310" s="162"/>
      <c r="K310" s="162"/>
      <c r="L310" s="162"/>
      <c r="M310" s="162"/>
      <c r="N310" s="162"/>
      <c r="O310" s="162"/>
      <c r="P310" s="162"/>
      <c r="Q310" s="339">
        <f t="shared" si="6"/>
        <v>0</v>
      </c>
      <c r="R310" s="339">
        <f t="shared" si="7"/>
        <v>0</v>
      </c>
      <c r="S310" s="339">
        <f t="shared" si="8"/>
        <v>0</v>
      </c>
      <c r="T310" s="339">
        <f t="shared" si="9"/>
        <v>0</v>
      </c>
      <c r="U310" s="339">
        <f t="shared" si="10"/>
        <v>0</v>
      </c>
      <c r="V310" s="339">
        <f t="shared" si="11"/>
        <v>0</v>
      </c>
      <c r="W310" s="339">
        <f t="shared" si="12"/>
        <v>21067.919999999998</v>
      </c>
      <c r="X310" s="339">
        <f t="shared" si="13"/>
        <v>0</v>
      </c>
      <c r="Y310" s="339">
        <f t="shared" si="14"/>
        <v>0</v>
      </c>
      <c r="Z310" s="162"/>
      <c r="AA310" s="162"/>
      <c r="AB310" s="162"/>
      <c r="AC310" s="162"/>
      <c r="AD310" s="162"/>
    </row>
    <row r="311" spans="1:30">
      <c r="A311" s="838" t="s">
        <v>1614</v>
      </c>
      <c r="B311" s="169" t="s">
        <v>87</v>
      </c>
      <c r="C311" s="169" t="s">
        <v>773</v>
      </c>
      <c r="D311" s="143">
        <f t="shared" si="21"/>
        <v>2088</v>
      </c>
      <c r="E311" s="176">
        <v>1000</v>
      </c>
      <c r="F311" s="1107">
        <v>0.5</v>
      </c>
      <c r="G311" s="176">
        <v>0.25</v>
      </c>
      <c r="H311" s="172">
        <f t="shared" si="22"/>
        <v>21067.919999999998</v>
      </c>
      <c r="I311" s="162"/>
      <c r="J311" s="162"/>
      <c r="K311" s="162"/>
      <c r="L311" s="162"/>
      <c r="M311" s="162"/>
      <c r="N311" s="162"/>
      <c r="O311" s="162"/>
      <c r="P311" s="162"/>
      <c r="Q311" s="339">
        <f t="shared" si="6"/>
        <v>0</v>
      </c>
      <c r="R311" s="339">
        <f t="shared" si="7"/>
        <v>0</v>
      </c>
      <c r="S311" s="339">
        <f t="shared" si="8"/>
        <v>0</v>
      </c>
      <c r="T311" s="339">
        <f t="shared" si="9"/>
        <v>0</v>
      </c>
      <c r="U311" s="339">
        <f t="shared" si="10"/>
        <v>0</v>
      </c>
      <c r="V311" s="339">
        <f t="shared" si="11"/>
        <v>0</v>
      </c>
      <c r="W311" s="339">
        <f t="shared" si="12"/>
        <v>21067.919999999998</v>
      </c>
      <c r="X311" s="339">
        <f t="shared" si="13"/>
        <v>0</v>
      </c>
      <c r="Y311" s="339">
        <f t="shared" si="14"/>
        <v>0</v>
      </c>
      <c r="Z311" s="162"/>
      <c r="AA311" s="162"/>
      <c r="AB311" s="162"/>
      <c r="AC311" s="162"/>
      <c r="AD311" s="162"/>
    </row>
    <row r="312" spans="1:30">
      <c r="A312" s="838" t="s">
        <v>1615</v>
      </c>
      <c r="B312" s="169" t="s">
        <v>87</v>
      </c>
      <c r="C312" s="169" t="s">
        <v>773</v>
      </c>
      <c r="D312" s="143">
        <f t="shared" si="21"/>
        <v>2088</v>
      </c>
      <c r="E312" s="176">
        <v>1000</v>
      </c>
      <c r="F312" s="1107">
        <v>0.5</v>
      </c>
      <c r="G312" s="176">
        <v>0.25</v>
      </c>
      <c r="H312" s="172">
        <f t="shared" si="22"/>
        <v>21067.919999999998</v>
      </c>
      <c r="I312" s="162"/>
      <c r="J312" s="162"/>
      <c r="K312" s="162"/>
      <c r="L312" s="162"/>
      <c r="M312" s="162"/>
      <c r="N312" s="162"/>
      <c r="O312" s="162"/>
      <c r="P312" s="162"/>
      <c r="Q312" s="339">
        <f t="shared" si="6"/>
        <v>0</v>
      </c>
      <c r="R312" s="339">
        <f t="shared" si="7"/>
        <v>0</v>
      </c>
      <c r="S312" s="339">
        <f t="shared" si="8"/>
        <v>0</v>
      </c>
      <c r="T312" s="339">
        <f t="shared" si="9"/>
        <v>0</v>
      </c>
      <c r="U312" s="339">
        <f t="shared" si="10"/>
        <v>0</v>
      </c>
      <c r="V312" s="339">
        <f t="shared" si="11"/>
        <v>0</v>
      </c>
      <c r="W312" s="339">
        <f t="shared" si="12"/>
        <v>21067.919999999998</v>
      </c>
      <c r="X312" s="339">
        <f t="shared" si="13"/>
        <v>0</v>
      </c>
      <c r="Y312" s="339">
        <f t="shared" si="14"/>
        <v>0</v>
      </c>
      <c r="Z312" s="162"/>
      <c r="AA312" s="162"/>
      <c r="AB312" s="162"/>
      <c r="AC312" s="162"/>
      <c r="AD312" s="162"/>
    </row>
    <row r="313" spans="1:30">
      <c r="A313" s="838" t="s">
        <v>1616</v>
      </c>
      <c r="B313" s="169" t="s">
        <v>87</v>
      </c>
      <c r="C313" s="169" t="s">
        <v>773</v>
      </c>
      <c r="D313" s="143">
        <f t="shared" si="21"/>
        <v>2088</v>
      </c>
      <c r="E313" s="176">
        <v>1000</v>
      </c>
      <c r="F313" s="1107">
        <v>0.5</v>
      </c>
      <c r="G313" s="176">
        <v>0.25</v>
      </c>
      <c r="H313" s="172">
        <f t="shared" si="22"/>
        <v>21067.919999999998</v>
      </c>
      <c r="I313" s="162"/>
      <c r="J313" s="162"/>
      <c r="K313" s="162"/>
      <c r="L313" s="162"/>
      <c r="M313" s="162"/>
      <c r="N313" s="162"/>
      <c r="O313" s="162"/>
      <c r="P313" s="162"/>
      <c r="Q313" s="339">
        <f t="shared" si="6"/>
        <v>0</v>
      </c>
      <c r="R313" s="339">
        <f t="shared" si="7"/>
        <v>0</v>
      </c>
      <c r="S313" s="339">
        <f t="shared" si="8"/>
        <v>0</v>
      </c>
      <c r="T313" s="339">
        <f t="shared" si="9"/>
        <v>0</v>
      </c>
      <c r="U313" s="339">
        <f t="shared" si="10"/>
        <v>0</v>
      </c>
      <c r="V313" s="339">
        <f t="shared" si="11"/>
        <v>0</v>
      </c>
      <c r="W313" s="339">
        <f t="shared" si="12"/>
        <v>21067.919999999998</v>
      </c>
      <c r="X313" s="339">
        <f t="shared" si="13"/>
        <v>0</v>
      </c>
      <c r="Y313" s="339">
        <f t="shared" si="14"/>
        <v>0</v>
      </c>
      <c r="Z313" s="162"/>
      <c r="AA313" s="162"/>
      <c r="AB313" s="162"/>
      <c r="AC313" s="162"/>
      <c r="AD313" s="162"/>
    </row>
    <row r="314" spans="1:30" ht="12" customHeight="1">
      <c r="A314" s="229"/>
      <c r="B314" s="229"/>
      <c r="C314" s="229"/>
      <c r="D314" s="226"/>
      <c r="E314" s="248"/>
      <c r="F314" s="248"/>
      <c r="G314" s="248"/>
      <c r="H314" s="227"/>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row>
    <row r="315" spans="1:30">
      <c r="A315" s="7" t="s">
        <v>313</v>
      </c>
      <c r="B315" s="4"/>
      <c r="C315" s="8"/>
      <c r="D315" s="8"/>
      <c r="E315" s="8"/>
      <c r="F315" s="8"/>
      <c r="G315" s="8"/>
      <c r="H315" s="4"/>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row>
    <row r="316" spans="1:30">
      <c r="A316" s="91" t="s">
        <v>116</v>
      </c>
      <c r="B316" s="92"/>
      <c r="C316" s="11" t="s">
        <v>90</v>
      </c>
      <c r="D316" s="90"/>
      <c r="E316" s="90"/>
      <c r="F316" s="90"/>
      <c r="G316" s="90"/>
      <c r="H316" s="85"/>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row>
    <row r="317" spans="1:30">
      <c r="A317" s="91" t="s">
        <v>88</v>
      </c>
      <c r="B317" s="92"/>
      <c r="C317" s="11" t="s">
        <v>91</v>
      </c>
      <c r="D317" s="90"/>
      <c r="E317" s="90"/>
      <c r="F317" s="90"/>
      <c r="G317" s="90"/>
      <c r="H317" s="85"/>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row>
    <row r="318" spans="1:30">
      <c r="A318" s="91" t="s">
        <v>84</v>
      </c>
      <c r="B318" s="92"/>
      <c r="C318" s="11" t="s">
        <v>20</v>
      </c>
      <c r="D318" s="90"/>
      <c r="E318" s="90"/>
      <c r="F318" s="90"/>
      <c r="G318" s="90"/>
      <c r="H318" s="85"/>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row>
    <row r="319" spans="1:30">
      <c r="A319" s="91" t="s">
        <v>117</v>
      </c>
      <c r="B319" s="92"/>
      <c r="C319" s="11" t="s">
        <v>92</v>
      </c>
      <c r="D319" s="90"/>
      <c r="E319" s="90"/>
      <c r="F319" s="90"/>
      <c r="G319" s="90"/>
      <c r="H319" s="85"/>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row>
    <row r="320" spans="1:30">
      <c r="A320" s="91" t="s">
        <v>118</v>
      </c>
      <c r="B320" s="92"/>
      <c r="C320" s="11" t="s">
        <v>93</v>
      </c>
      <c r="D320" s="90"/>
      <c r="E320" s="90"/>
      <c r="F320" s="90"/>
      <c r="G320" s="90"/>
      <c r="H320" s="85"/>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row>
    <row r="321" spans="1:30">
      <c r="A321" s="91" t="s">
        <v>119</v>
      </c>
      <c r="B321" s="92"/>
      <c r="C321" s="11" t="s">
        <v>89</v>
      </c>
      <c r="D321" s="90"/>
      <c r="E321" s="90"/>
      <c r="F321" s="90"/>
      <c r="G321" s="90"/>
      <c r="H321" s="85"/>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row>
    <row r="322" spans="1:30">
      <c r="A322" s="91" t="s">
        <v>87</v>
      </c>
      <c r="B322" s="92"/>
      <c r="C322" s="11" t="s">
        <v>94</v>
      </c>
      <c r="D322" s="90"/>
      <c r="E322" s="90"/>
      <c r="F322" s="90"/>
      <c r="G322" s="90"/>
      <c r="H322" s="85"/>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row>
    <row r="323" spans="1:30">
      <c r="A323" s="91" t="s">
        <v>86</v>
      </c>
      <c r="B323" s="92"/>
      <c r="C323" s="11" t="s">
        <v>207</v>
      </c>
      <c r="D323" s="90"/>
      <c r="E323" s="90"/>
      <c r="F323" s="90"/>
      <c r="G323" s="90"/>
      <c r="H323" s="85"/>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row>
    <row r="324" spans="1:30">
      <c r="A324" s="91" t="s">
        <v>85</v>
      </c>
      <c r="B324" s="92"/>
      <c r="C324" s="11" t="s">
        <v>208</v>
      </c>
      <c r="D324" s="90"/>
      <c r="E324" s="90"/>
      <c r="F324" s="90"/>
      <c r="G324" s="90"/>
      <c r="H324" s="85"/>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row>
    <row r="325" spans="1:30">
      <c r="A325" s="4"/>
      <c r="B325" s="4"/>
      <c r="C325" s="4"/>
      <c r="D325" s="4"/>
      <c r="E325" s="4"/>
      <c r="F325" s="4"/>
      <c r="G325" s="4"/>
      <c r="H325" s="4"/>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row>
    <row r="326" spans="1:30">
      <c r="A326" s="251" t="s">
        <v>316</v>
      </c>
      <c r="B326" s="221"/>
      <c r="C326" s="221"/>
      <c r="D326" s="221"/>
      <c r="E326" s="221"/>
      <c r="F326" s="221"/>
      <c r="G326" s="221"/>
      <c r="H326" s="221"/>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row>
    <row r="327" spans="1:30" ht="13.5" thickBot="1">
      <c r="A327" s="7"/>
      <c r="B327" s="4"/>
      <c r="C327" s="4"/>
      <c r="D327" s="4"/>
      <c r="E327" s="4"/>
      <c r="F327" s="4"/>
      <c r="G327" s="4"/>
      <c r="H327" s="4"/>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row>
    <row r="328" spans="1:30" ht="14.25" customHeight="1">
      <c r="A328" s="1224" t="s">
        <v>490</v>
      </c>
      <c r="B328" s="1225"/>
      <c r="C328" s="1225"/>
      <c r="D328" s="1225"/>
      <c r="E328" s="1225"/>
      <c r="F328" s="31"/>
      <c r="G328" s="4"/>
      <c r="H328" s="4"/>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row>
    <row r="329" spans="1:30" ht="13.5" thickBot="1">
      <c r="A329" s="1226"/>
      <c r="B329" s="1227"/>
      <c r="C329" s="1227"/>
      <c r="D329" s="1227"/>
      <c r="E329" s="1227"/>
      <c r="F329" s="158">
        <f>(((SUM($F$26:$F$36)+SUM($H$50:$H$60))*kg_per_lb) +SUM($H$77:$H$313))/1000</f>
        <v>3701.6499274999919</v>
      </c>
      <c r="G329" s="4"/>
      <c r="H329" s="4"/>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row>
    <row r="330" spans="1:30" ht="6.75" customHeight="1">
      <c r="A330" s="4"/>
      <c r="B330" s="4"/>
      <c r="C330" s="4"/>
      <c r="D330" s="4"/>
      <c r="E330" s="4"/>
      <c r="F330" s="4"/>
      <c r="G330" s="4"/>
      <c r="H330" s="4"/>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row>
    <row r="331" spans="1:30">
      <c r="A331" s="69" t="s">
        <v>129</v>
      </c>
      <c r="B331" s="4"/>
      <c r="C331" s="4"/>
      <c r="D331" s="4"/>
      <c r="E331" s="4"/>
      <c r="F331" s="4"/>
      <c r="G331" s="4"/>
      <c r="H331" s="4"/>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row>
    <row r="332" spans="1:30">
      <c r="A332" s="69" t="s">
        <v>840</v>
      </c>
      <c r="B332" s="4"/>
      <c r="C332" s="4"/>
      <c r="D332" s="4"/>
      <c r="E332" s="4"/>
      <c r="F332" s="4"/>
      <c r="G332" s="4"/>
      <c r="H332" s="4"/>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row>
    <row r="333" spans="1:30">
      <c r="A333" s="70" t="s">
        <v>1260</v>
      </c>
      <c r="B333" s="4"/>
      <c r="C333" s="4"/>
      <c r="D333" s="4"/>
      <c r="E333" s="4"/>
      <c r="F333" s="4"/>
      <c r="G333" s="4"/>
      <c r="H333" s="4"/>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row>
    <row r="334" spans="1:30">
      <c r="A334" s="312" t="s">
        <v>676</v>
      </c>
      <c r="B334" s="4"/>
      <c r="C334" s="4"/>
      <c r="D334" s="4"/>
      <c r="E334" s="4"/>
      <c r="F334" s="4"/>
      <c r="G334" s="4"/>
      <c r="H334" s="4"/>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row>
    <row r="335" spans="1:30">
      <c r="A335" s="4"/>
      <c r="B335" s="4"/>
      <c r="C335" s="4"/>
      <c r="D335" s="4"/>
      <c r="E335" s="4"/>
      <c r="F335" s="4"/>
      <c r="G335" s="4"/>
      <c r="H335" s="4"/>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row>
    <row r="336" spans="1:30">
      <c r="A336" s="4"/>
      <c r="B336" s="4"/>
      <c r="C336" s="4"/>
      <c r="D336" s="4"/>
      <c r="E336" s="4"/>
      <c r="F336" s="4"/>
      <c r="G336" s="4"/>
      <c r="H336" s="4"/>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row>
    <row r="337" spans="1:30">
      <c r="A337" s="4"/>
      <c r="B337" s="4"/>
      <c r="C337" s="4"/>
      <c r="D337" s="4"/>
      <c r="E337" s="4"/>
      <c r="F337" s="4"/>
      <c r="G337" s="4"/>
      <c r="H337" s="4"/>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row>
    <row r="338" spans="1:30">
      <c r="A338" s="4"/>
      <c r="B338" s="4"/>
      <c r="C338" s="4"/>
      <c r="D338" s="4"/>
      <c r="E338" s="4"/>
      <c r="F338" s="4"/>
      <c r="G338" s="4"/>
      <c r="H338" s="4"/>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row>
    <row r="339" spans="1:30">
      <c r="A339" s="4"/>
      <c r="B339" s="4"/>
      <c r="C339" s="4"/>
      <c r="D339" s="4"/>
      <c r="E339" s="4"/>
      <c r="F339" s="4"/>
      <c r="G339" s="4"/>
      <c r="H339" s="4"/>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row>
    <row r="340" spans="1:30">
      <c r="A340" s="4"/>
      <c r="B340" s="4"/>
      <c r="C340" s="4"/>
      <c r="D340" s="4"/>
      <c r="E340" s="4"/>
      <c r="F340" s="4"/>
      <c r="G340" s="4"/>
      <c r="H340" s="4"/>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row>
    <row r="341" spans="1:30">
      <c r="A341" s="4"/>
      <c r="B341" s="4"/>
      <c r="C341" s="4"/>
      <c r="D341" s="4"/>
      <c r="E341" s="4"/>
      <c r="F341" s="4"/>
      <c r="G341" s="4"/>
      <c r="H341" s="4"/>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row>
    <row r="342" spans="1:30">
      <c r="A342" s="4"/>
      <c r="B342" s="4"/>
      <c r="C342" s="4"/>
      <c r="D342" s="4"/>
      <c r="E342" s="4"/>
      <c r="F342" s="4"/>
      <c r="G342" s="4"/>
      <c r="H342" s="4"/>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row>
    <row r="343" spans="1:30">
      <c r="A343" s="4"/>
      <c r="B343" s="4"/>
      <c r="C343" s="4"/>
      <c r="D343" s="4"/>
      <c r="E343" s="4"/>
      <c r="F343" s="4"/>
      <c r="G343" s="4"/>
      <c r="H343" s="4"/>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row>
    <row r="344" spans="1:30">
      <c r="A344" s="4"/>
      <c r="B344" s="4"/>
      <c r="C344" s="4"/>
      <c r="D344" s="4"/>
      <c r="E344" s="4"/>
      <c r="F344" s="4"/>
      <c r="G344" s="4"/>
      <c r="H344" s="4"/>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row>
    <row r="345" spans="1:30">
      <c r="A345" s="4"/>
      <c r="B345" s="4"/>
      <c r="C345" s="4"/>
      <c r="D345" s="4"/>
      <c r="E345" s="4"/>
      <c r="F345" s="4"/>
      <c r="G345" s="4"/>
      <c r="H345" s="4"/>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row>
    <row r="346" spans="1:30">
      <c r="A346" s="4"/>
      <c r="B346" s="4"/>
      <c r="C346" s="4"/>
      <c r="D346" s="4"/>
      <c r="E346" s="4"/>
      <c r="F346" s="4"/>
      <c r="G346" s="4"/>
      <c r="H346" s="4"/>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row>
    <row r="347" spans="1:30">
      <c r="A347" s="4"/>
      <c r="B347" s="4"/>
      <c r="C347" s="4"/>
      <c r="D347" s="4"/>
      <c r="E347" s="4"/>
      <c r="F347" s="4"/>
      <c r="G347" s="4"/>
      <c r="H347" s="4"/>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row>
    <row r="348" spans="1:30">
      <c r="A348" s="4"/>
      <c r="B348" s="4"/>
      <c r="C348" s="4"/>
      <c r="D348" s="4"/>
      <c r="E348" s="4"/>
      <c r="F348" s="4"/>
      <c r="G348" s="4"/>
      <c r="H348" s="4"/>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row>
    <row r="349" spans="1:30">
      <c r="A349" s="4"/>
      <c r="B349" s="4"/>
      <c r="C349" s="4"/>
      <c r="D349" s="4"/>
      <c r="E349" s="4"/>
      <c r="F349" s="4"/>
      <c r="G349" s="4"/>
      <c r="H349" s="4"/>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row>
    <row r="350" spans="1:30">
      <c r="A350" s="4"/>
      <c r="B350" s="4"/>
      <c r="C350" s="4"/>
      <c r="D350" s="4"/>
      <c r="E350" s="4"/>
      <c r="F350" s="4"/>
      <c r="G350" s="4"/>
      <c r="H350" s="4"/>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row>
    <row r="351" spans="1:30">
      <c r="A351" s="4"/>
      <c r="B351" s="4"/>
      <c r="C351" s="4"/>
      <c r="D351" s="4"/>
      <c r="E351" s="4"/>
      <c r="F351" s="4"/>
      <c r="G351" s="4"/>
      <c r="H351" s="4"/>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row>
    <row r="352" spans="1:30">
      <c r="A352" s="4"/>
      <c r="B352" s="4"/>
      <c r="C352" s="4"/>
      <c r="D352" s="4"/>
      <c r="E352" s="4"/>
      <c r="F352" s="4"/>
      <c r="G352" s="4"/>
      <c r="H352" s="4"/>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row>
    <row r="353" spans="1:30">
      <c r="A353" s="4"/>
      <c r="B353" s="4"/>
      <c r="C353" s="4"/>
      <c r="D353" s="4"/>
      <c r="E353" s="4"/>
      <c r="F353" s="4"/>
      <c r="G353" s="4"/>
      <c r="H353" s="4"/>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row>
    <row r="354" spans="1:30">
      <c r="A354" s="4"/>
      <c r="B354" s="4"/>
      <c r="C354" s="4"/>
      <c r="D354" s="4"/>
      <c r="E354" s="4"/>
      <c r="F354" s="4"/>
      <c r="G354" s="4"/>
      <c r="H354" s="4"/>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row>
    <row r="355" spans="1:30">
      <c r="A355" s="4"/>
      <c r="B355" s="4"/>
      <c r="C355" s="4"/>
      <c r="D355" s="4"/>
      <c r="E355" s="4"/>
      <c r="F355" s="4"/>
      <c r="G355" s="4"/>
      <c r="H355" s="4"/>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row>
    <row r="356" spans="1:30">
      <c r="A356" s="4"/>
      <c r="B356" s="4"/>
      <c r="C356" s="4"/>
      <c r="D356" s="4"/>
      <c r="E356" s="4"/>
      <c r="F356" s="4"/>
      <c r="G356" s="4"/>
      <c r="H356" s="4"/>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row>
    <row r="357" spans="1:30">
      <c r="A357" s="4"/>
      <c r="B357" s="4"/>
      <c r="C357" s="4"/>
      <c r="D357" s="4"/>
      <c r="E357" s="4"/>
      <c r="F357" s="4"/>
      <c r="G357" s="4"/>
      <c r="H357" s="4"/>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row>
    <row r="358" spans="1:30">
      <c r="A358" s="4"/>
      <c r="B358" s="4"/>
      <c r="C358" s="4"/>
      <c r="D358" s="4"/>
      <c r="E358" s="4"/>
      <c r="F358" s="4"/>
      <c r="G358" s="4"/>
      <c r="H358" s="4"/>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row>
    <row r="359" spans="1:30">
      <c r="A359" s="4"/>
      <c r="B359" s="4"/>
      <c r="C359" s="4"/>
      <c r="D359" s="4"/>
      <c r="E359" s="4"/>
      <c r="F359" s="4"/>
      <c r="G359" s="4"/>
      <c r="H359" s="4"/>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row>
    <row r="360" spans="1:30">
      <c r="A360" s="4"/>
      <c r="B360" s="4"/>
      <c r="C360" s="4"/>
      <c r="D360" s="4"/>
      <c r="E360" s="4"/>
      <c r="F360" s="4"/>
      <c r="G360" s="4"/>
      <c r="H360" s="4"/>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row>
    <row r="361" spans="1:30">
      <c r="A361" s="4"/>
      <c r="B361" s="4"/>
      <c r="C361" s="4"/>
      <c r="D361" s="4"/>
      <c r="E361" s="4"/>
      <c r="F361" s="4"/>
      <c r="G361" s="4"/>
      <c r="H361" s="4"/>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row>
    <row r="362" spans="1:30">
      <c r="A362" s="4"/>
      <c r="B362" s="4"/>
      <c r="C362" s="4"/>
      <c r="D362" s="4"/>
      <c r="E362" s="4"/>
      <c r="F362" s="4"/>
      <c r="G362" s="4"/>
      <c r="H362" s="4"/>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row>
    <row r="363" spans="1:30">
      <c r="A363" s="4"/>
      <c r="B363" s="4"/>
      <c r="C363" s="4"/>
      <c r="D363" s="4"/>
      <c r="E363" s="4"/>
      <c r="F363" s="4"/>
      <c r="G363" s="4"/>
      <c r="H363" s="4"/>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row>
    <row r="364" spans="1:30">
      <c r="A364" s="4"/>
      <c r="B364" s="4"/>
      <c r="C364" s="4"/>
      <c r="D364" s="4"/>
      <c r="E364" s="4"/>
      <c r="F364" s="4"/>
      <c r="G364" s="4"/>
      <c r="H364" s="4"/>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row>
    <row r="365" spans="1:30">
      <c r="A365" s="4"/>
      <c r="B365" s="4"/>
      <c r="C365" s="4"/>
      <c r="D365" s="4"/>
      <c r="E365" s="4"/>
      <c r="F365" s="4"/>
      <c r="G365" s="4"/>
      <c r="H365" s="4"/>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row>
    <row r="366" spans="1:30">
      <c r="A366" s="4"/>
      <c r="B366" s="4"/>
      <c r="C366" s="4"/>
      <c r="D366" s="4"/>
      <c r="E366" s="4"/>
      <c r="F366" s="4"/>
      <c r="G366" s="4"/>
      <c r="H366" s="4"/>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row>
    <row r="367" spans="1:30">
      <c r="A367" s="4"/>
      <c r="B367" s="4"/>
      <c r="C367" s="4"/>
      <c r="D367" s="4"/>
      <c r="E367" s="4"/>
      <c r="F367" s="4"/>
      <c r="G367" s="4"/>
      <c r="H367" s="4"/>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row>
    <row r="368" spans="1:30">
      <c r="A368" s="4"/>
      <c r="B368" s="4"/>
      <c r="C368" s="4"/>
      <c r="D368" s="4"/>
      <c r="E368" s="4"/>
      <c r="F368" s="4"/>
      <c r="G368" s="4"/>
      <c r="H368" s="4"/>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row>
    <row r="369" spans="1:30">
      <c r="A369" s="4"/>
      <c r="B369" s="4"/>
      <c r="C369" s="4"/>
      <c r="D369" s="4"/>
      <c r="E369" s="4"/>
      <c r="F369" s="4"/>
      <c r="G369" s="4"/>
      <c r="H369" s="4"/>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row>
    <row r="370" spans="1:30">
      <c r="A370" s="4"/>
      <c r="B370" s="4"/>
      <c r="C370" s="4"/>
      <c r="D370" s="4"/>
      <c r="E370" s="4"/>
      <c r="F370" s="4"/>
      <c r="G370" s="4"/>
      <c r="H370" s="4"/>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row>
    <row r="371" spans="1:30">
      <c r="A371" s="4"/>
      <c r="B371" s="4"/>
      <c r="C371" s="4"/>
      <c r="D371" s="4"/>
      <c r="E371" s="4"/>
      <c r="F371" s="4"/>
      <c r="G371" s="4"/>
      <c r="H371" s="4"/>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row>
    <row r="372" spans="1:30">
      <c r="A372" s="4"/>
      <c r="B372" s="4"/>
      <c r="C372" s="4"/>
      <c r="D372" s="4"/>
      <c r="E372" s="4"/>
      <c r="F372" s="4"/>
      <c r="G372" s="4"/>
      <c r="H372" s="4"/>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row>
    <row r="373" spans="1:30">
      <c r="A373" s="4"/>
      <c r="B373" s="4"/>
      <c r="C373" s="4"/>
      <c r="D373" s="4"/>
      <c r="E373" s="4"/>
      <c r="F373" s="4"/>
      <c r="G373" s="4"/>
      <c r="H373" s="4"/>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row>
    <row r="374" spans="1:30">
      <c r="A374" s="4"/>
      <c r="B374" s="4"/>
      <c r="C374" s="4"/>
      <c r="D374" s="4"/>
      <c r="E374" s="4"/>
      <c r="F374" s="4"/>
      <c r="G374" s="4"/>
      <c r="H374" s="4"/>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row>
    <row r="375" spans="1:30">
      <c r="A375" s="4"/>
      <c r="B375" s="4"/>
      <c r="C375" s="4"/>
      <c r="D375" s="4"/>
      <c r="E375" s="4"/>
      <c r="F375" s="4"/>
      <c r="G375" s="4"/>
      <c r="H375" s="4"/>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row>
    <row r="376" spans="1:30">
      <c r="A376" s="4"/>
      <c r="B376" s="4"/>
      <c r="C376" s="4"/>
      <c r="D376" s="4"/>
      <c r="E376" s="4"/>
      <c r="F376" s="4"/>
      <c r="G376" s="4"/>
      <c r="H376" s="4"/>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row>
    <row r="377" spans="1:30">
      <c r="A377" s="4"/>
      <c r="B377" s="4"/>
      <c r="C377" s="4"/>
      <c r="D377" s="4"/>
      <c r="E377" s="4"/>
      <c r="F377" s="4"/>
      <c r="G377" s="4"/>
      <c r="H377" s="4"/>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row>
    <row r="378" spans="1:30">
      <c r="A378" s="4"/>
      <c r="B378" s="4"/>
      <c r="C378" s="4"/>
      <c r="D378" s="4"/>
      <c r="E378" s="4"/>
      <c r="F378" s="4"/>
      <c r="G378" s="4"/>
      <c r="H378" s="4"/>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row>
    <row r="379" spans="1:30">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row>
    <row r="380" spans="1:30">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row>
    <row r="381" spans="1:30">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row>
    <row r="382" spans="1:30">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row>
    <row r="383" spans="1:30">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row>
    <row r="384" spans="1:30">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row>
    <row r="385" spans="1:30">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row>
    <row r="386" spans="1:30">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row>
    <row r="387" spans="1:30">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row>
    <row r="388" spans="1:30">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row>
    <row r="389" spans="1:30">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row>
    <row r="390" spans="1:30">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row>
    <row r="391" spans="1:30">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row>
    <row r="392" spans="1:30">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row>
    <row r="393" spans="1:30">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row>
    <row r="394" spans="1:30">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row>
    <row r="395" spans="1:30">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row>
    <row r="396" spans="1:30">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row>
    <row r="397" spans="1:30">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row>
    <row r="398" spans="1:30">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row>
  </sheetData>
  <mergeCells count="12">
    <mergeCell ref="A6:H6"/>
    <mergeCell ref="A7:H7"/>
    <mergeCell ref="A328:E329"/>
    <mergeCell ref="C47:D47"/>
    <mergeCell ref="F47:G47"/>
    <mergeCell ref="F72:G72"/>
    <mergeCell ref="A66:H66"/>
    <mergeCell ref="A68:H68"/>
    <mergeCell ref="A72:A75"/>
    <mergeCell ref="B72:B75"/>
    <mergeCell ref="C72:C75"/>
    <mergeCell ref="D72:D75"/>
  </mergeCells>
  <phoneticPr fontId="11" type="noConversion"/>
  <dataValidations count="2">
    <dataValidation type="list" allowBlank="1" showInputMessage="1" showErrorMessage="1" sqref="A50:A60 A26:A36 C77:C314" xr:uid="{00000000-0002-0000-0500-000000000000}">
      <formula1>Refrig</formula1>
    </dataValidation>
    <dataValidation type="list" allowBlank="1" showInputMessage="1" showErrorMessage="1" sqref="B76:B314" xr:uid="{00000000-0002-0000-0500-000001000000}">
      <formula1>Refrig_Equip</formula1>
    </dataValidation>
  </dataValidations>
  <pageMargins left="0.25" right="0.25" top="0.25" bottom="0.5" header="0.5" footer="0.25"/>
  <pageSetup scale="77" orientation="portrait" r:id="rId1"/>
  <headerFooter alignWithMargins="0">
    <oddFooter>&amp;L&amp;"Arial,Italic"&amp;9EPA Climate Leaders Simplified GHG Emissions Calculator (Direct 3.0)&amp;R&amp;"Arial,Italic"&amp;9&amp;P of &amp;N</oddFooter>
  </headerFooter>
  <rowBreaks count="2" manualBreakCount="2">
    <brk id="60" max="16383" man="1"/>
    <brk id="334" max="16383" man="1"/>
  </rowBreaks>
  <colBreaks count="1" manualBreakCount="1">
    <brk id="8"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D198"/>
  <sheetViews>
    <sheetView topLeftCell="A28" zoomScale="114" zoomScaleNormal="80" workbookViewId="0"/>
  </sheetViews>
  <sheetFormatPr defaultColWidth="8.85546875" defaultRowHeight="12.75"/>
  <cols>
    <col min="1" max="1" width="10.85546875" customWidth="1"/>
    <col min="2" max="2" width="19.85546875" customWidth="1"/>
    <col min="3" max="5" width="12.85546875" customWidth="1"/>
    <col min="6" max="6" width="14.85546875" bestFit="1" customWidth="1"/>
    <col min="7" max="7" width="10.85546875" customWidth="1"/>
    <col min="8" max="8" width="14.85546875" bestFit="1" customWidth="1"/>
  </cols>
  <sheetData>
    <row r="1" spans="1:30"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row>
    <row r="2" spans="1:30"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row>
    <row r="3" spans="1:30" ht="15">
      <c r="A3" s="5" t="s">
        <v>800</v>
      </c>
      <c r="B3" s="4"/>
      <c r="C3" s="4"/>
      <c r="D3" s="4"/>
      <c r="E3" s="4"/>
      <c r="F3" s="4"/>
      <c r="G3" s="4"/>
      <c r="H3" s="4"/>
      <c r="I3" s="162"/>
      <c r="J3" s="162"/>
      <c r="K3" s="162"/>
      <c r="L3" s="162"/>
      <c r="M3" s="162"/>
      <c r="N3" s="162"/>
      <c r="O3" s="162"/>
      <c r="P3" s="162"/>
      <c r="Q3" s="162"/>
      <c r="R3" s="162"/>
      <c r="S3" s="162"/>
      <c r="T3" s="162"/>
      <c r="U3" s="162"/>
      <c r="V3" s="162"/>
      <c r="W3" s="162"/>
      <c r="X3" s="162"/>
      <c r="Y3" s="162"/>
      <c r="Z3" s="162"/>
      <c r="AA3" s="162"/>
      <c r="AB3" s="162"/>
      <c r="AC3" s="162"/>
      <c r="AD3" s="162"/>
    </row>
    <row r="4" spans="1:30">
      <c r="A4" s="4"/>
      <c r="B4" s="4"/>
      <c r="C4" s="4"/>
      <c r="D4" s="4"/>
      <c r="E4" s="4"/>
      <c r="F4" s="4"/>
      <c r="G4" s="4"/>
      <c r="H4" s="4"/>
      <c r="I4" s="162"/>
      <c r="J4" s="162"/>
      <c r="K4" s="162"/>
      <c r="L4" s="162"/>
      <c r="M4" s="162"/>
      <c r="N4" s="162"/>
      <c r="O4" s="162"/>
      <c r="P4" s="162"/>
      <c r="Q4" s="162"/>
      <c r="R4" s="162"/>
      <c r="S4" s="162"/>
      <c r="T4" s="162"/>
      <c r="U4" s="162"/>
      <c r="V4" s="162"/>
      <c r="W4" s="162"/>
      <c r="X4" s="162"/>
      <c r="Y4" s="162"/>
      <c r="Z4" s="162"/>
      <c r="AA4" s="162"/>
      <c r="AB4" s="162"/>
      <c r="AC4" s="162"/>
      <c r="AD4" s="162"/>
    </row>
    <row r="5" spans="1:30">
      <c r="A5" s="7" t="s">
        <v>293</v>
      </c>
      <c r="B5" s="4"/>
      <c r="C5" s="4"/>
      <c r="D5" s="4"/>
      <c r="E5" s="4"/>
      <c r="F5" s="4"/>
      <c r="G5" s="4"/>
      <c r="H5" s="4"/>
      <c r="I5" s="162"/>
      <c r="J5" s="162"/>
      <c r="K5" s="162"/>
      <c r="L5" s="162"/>
      <c r="M5" s="162"/>
      <c r="N5" s="162"/>
      <c r="O5" s="162"/>
      <c r="P5" s="162"/>
      <c r="Q5" s="162"/>
      <c r="R5" s="162"/>
      <c r="S5" s="162"/>
      <c r="T5" s="162"/>
      <c r="U5" s="162"/>
      <c r="V5" s="162"/>
      <c r="W5" s="162"/>
      <c r="X5" s="162"/>
      <c r="Y5" s="162"/>
      <c r="Z5" s="162"/>
      <c r="AA5" s="162"/>
      <c r="AB5" s="162"/>
      <c r="AC5" s="162"/>
      <c r="AD5" s="162"/>
    </row>
    <row r="6" spans="1:30" ht="30" customHeight="1">
      <c r="A6" s="1189" t="s">
        <v>722</v>
      </c>
      <c r="B6" s="1189"/>
      <c r="C6" s="1189"/>
      <c r="D6" s="1189"/>
      <c r="E6" s="1189"/>
      <c r="F6" s="1189"/>
      <c r="G6" s="1189"/>
      <c r="H6" s="1189"/>
      <c r="I6" s="162"/>
      <c r="J6" s="162"/>
      <c r="K6" s="162"/>
      <c r="L6" s="162"/>
      <c r="M6" s="162"/>
      <c r="N6" s="162"/>
      <c r="O6" s="162"/>
      <c r="P6" s="162"/>
      <c r="Q6" s="162"/>
      <c r="R6" s="162"/>
      <c r="S6" s="162"/>
      <c r="T6" s="162"/>
      <c r="U6" s="162"/>
      <c r="V6" s="162"/>
      <c r="W6" s="162"/>
      <c r="X6" s="162"/>
      <c r="Y6" s="162"/>
      <c r="Z6" s="162"/>
      <c r="AA6" s="162"/>
      <c r="AB6" s="162"/>
      <c r="AC6" s="162"/>
      <c r="AD6" s="162"/>
    </row>
    <row r="7" spans="1:30">
      <c r="A7" s="68" t="s">
        <v>598</v>
      </c>
      <c r="B7" s="4"/>
      <c r="C7" s="4"/>
      <c r="D7" s="4"/>
      <c r="E7" s="4"/>
      <c r="F7" s="4"/>
      <c r="G7" s="4"/>
      <c r="H7" s="4"/>
      <c r="I7" s="162"/>
      <c r="J7" s="162"/>
      <c r="K7" s="162"/>
      <c r="L7" s="162"/>
      <c r="M7" s="162"/>
      <c r="N7" s="162"/>
      <c r="O7" s="162"/>
      <c r="P7" s="162"/>
      <c r="Q7" s="162"/>
      <c r="R7" s="162"/>
      <c r="S7" s="162"/>
      <c r="T7" s="162"/>
      <c r="U7" s="162"/>
      <c r="V7" s="162"/>
      <c r="W7" s="162"/>
      <c r="X7" s="162"/>
      <c r="Y7" s="162"/>
      <c r="Z7" s="162"/>
      <c r="AA7" s="162"/>
      <c r="AB7" s="162"/>
      <c r="AC7" s="162"/>
      <c r="AD7" s="162"/>
    </row>
    <row r="8" spans="1:30">
      <c r="A8" s="8" t="s">
        <v>946</v>
      </c>
      <c r="B8" s="4"/>
      <c r="C8" s="4"/>
      <c r="D8" s="4"/>
      <c r="E8" s="4"/>
      <c r="F8" s="4"/>
      <c r="G8" s="4"/>
      <c r="H8" s="4"/>
      <c r="I8" s="162"/>
      <c r="J8" s="162"/>
      <c r="K8" s="162"/>
      <c r="L8" s="162"/>
      <c r="M8" s="162"/>
      <c r="N8" s="162"/>
      <c r="O8" s="162"/>
      <c r="P8" s="162"/>
      <c r="Q8" s="162"/>
      <c r="R8" s="162"/>
      <c r="S8" s="162"/>
      <c r="T8" s="162"/>
      <c r="U8" s="162"/>
      <c r="V8" s="162"/>
      <c r="W8" s="162"/>
      <c r="X8" s="162"/>
      <c r="Y8" s="162"/>
      <c r="Z8" s="162"/>
      <c r="AA8" s="162"/>
      <c r="AB8" s="162"/>
      <c r="AC8" s="162"/>
      <c r="AD8" s="162"/>
    </row>
    <row r="9" spans="1:30">
      <c r="A9" s="8" t="s">
        <v>947</v>
      </c>
      <c r="B9" s="4"/>
      <c r="C9" s="4"/>
      <c r="D9" s="4"/>
      <c r="E9" s="4"/>
      <c r="F9" s="4"/>
      <c r="G9" s="4"/>
      <c r="H9" s="4"/>
      <c r="I9" s="162"/>
      <c r="J9" s="162"/>
      <c r="K9" s="162"/>
      <c r="L9" s="162"/>
      <c r="M9" s="162"/>
      <c r="N9" s="162"/>
      <c r="O9" s="162"/>
      <c r="P9" s="162"/>
      <c r="Q9" s="162"/>
      <c r="R9" s="162"/>
      <c r="S9" s="162"/>
      <c r="T9" s="162"/>
      <c r="U9" s="162"/>
      <c r="V9" s="162"/>
      <c r="W9" s="162"/>
      <c r="X9" s="162"/>
      <c r="Y9" s="162"/>
      <c r="Z9" s="162"/>
      <c r="AA9" s="162"/>
      <c r="AB9" s="162"/>
      <c r="AC9" s="162"/>
      <c r="AD9" s="162"/>
    </row>
    <row r="10" spans="1:30">
      <c r="A10" s="8" t="s">
        <v>948</v>
      </c>
      <c r="B10" s="4"/>
      <c r="C10" s="4"/>
      <c r="D10" s="4"/>
      <c r="E10" s="4"/>
      <c r="F10" s="4"/>
      <c r="G10" s="4"/>
      <c r="H10" s="4"/>
      <c r="I10" s="162"/>
      <c r="J10" s="162"/>
      <c r="K10" s="162"/>
      <c r="L10" s="162"/>
      <c r="M10" s="162"/>
      <c r="N10" s="162"/>
      <c r="O10" s="162"/>
      <c r="P10" s="162"/>
      <c r="Q10" s="162"/>
      <c r="R10" s="162"/>
      <c r="S10" s="162"/>
      <c r="T10" s="162"/>
      <c r="U10" s="162"/>
      <c r="V10" s="162"/>
      <c r="W10" s="162"/>
      <c r="X10" s="162"/>
      <c r="Y10" s="162"/>
      <c r="Z10" s="162"/>
      <c r="AA10" s="162"/>
      <c r="AB10" s="162"/>
      <c r="AC10" s="162"/>
      <c r="AD10" s="162"/>
    </row>
    <row r="11" spans="1:30" s="3" customFormat="1">
      <c r="A11" s="68" t="s">
        <v>684</v>
      </c>
      <c r="B11" s="4"/>
      <c r="C11" s="4"/>
      <c r="D11" s="4"/>
      <c r="E11" s="4"/>
      <c r="F11" s="4"/>
      <c r="G11" s="4"/>
      <c r="H11" s="4"/>
      <c r="I11" s="162"/>
      <c r="J11" s="162"/>
      <c r="K11" s="162"/>
      <c r="L11" s="162"/>
      <c r="M11" s="162"/>
      <c r="N11" s="162"/>
      <c r="O11" s="162"/>
      <c r="P11" s="162"/>
      <c r="Q11" s="162"/>
      <c r="R11" s="162"/>
      <c r="S11" s="162"/>
      <c r="T11" s="162"/>
      <c r="U11" s="162"/>
      <c r="V11" s="183"/>
      <c r="W11" s="183"/>
      <c r="X11" s="183"/>
      <c r="Y11" s="183"/>
      <c r="Z11" s="183"/>
      <c r="AA11" s="183"/>
      <c r="AB11" s="183"/>
      <c r="AC11" s="183"/>
      <c r="AD11" s="183"/>
    </row>
    <row r="12" spans="1:30" s="3" customFormat="1">
      <c r="A12" s="68"/>
      <c r="B12" s="8"/>
      <c r="C12" s="8"/>
      <c r="D12" s="8"/>
      <c r="E12" s="8"/>
      <c r="F12" s="8"/>
      <c r="G12" s="8"/>
      <c r="H12" s="8"/>
      <c r="I12" s="162"/>
      <c r="J12" s="162"/>
      <c r="K12" s="162"/>
      <c r="L12" s="162"/>
      <c r="M12" s="162"/>
      <c r="N12" s="162"/>
      <c r="O12" s="162"/>
      <c r="P12" s="162"/>
      <c r="Q12" s="162"/>
      <c r="R12" s="162"/>
      <c r="S12" s="162"/>
      <c r="T12" s="162"/>
      <c r="U12" s="162"/>
      <c r="V12" s="183"/>
      <c r="W12" s="183"/>
      <c r="X12" s="183"/>
      <c r="Y12" s="183"/>
      <c r="Z12" s="183"/>
      <c r="AA12" s="183"/>
      <c r="AB12" s="183"/>
      <c r="AC12" s="183"/>
      <c r="AD12" s="183"/>
    </row>
    <row r="13" spans="1:30">
      <c r="A13" s="7" t="s">
        <v>993</v>
      </c>
      <c r="B13" s="4"/>
      <c r="C13" s="4"/>
      <c r="D13" s="8"/>
      <c r="E13" s="8"/>
      <c r="F13" s="8"/>
      <c r="G13" s="8"/>
      <c r="H13" s="8"/>
      <c r="I13" s="162"/>
      <c r="J13" s="162"/>
      <c r="K13" s="162"/>
      <c r="L13" s="162"/>
      <c r="M13" s="162"/>
      <c r="N13" s="162"/>
      <c r="O13" s="162"/>
      <c r="P13" s="162"/>
      <c r="Q13" s="162"/>
      <c r="R13" s="162"/>
      <c r="S13" s="162"/>
      <c r="T13" s="162"/>
      <c r="U13" s="162"/>
      <c r="V13" s="162"/>
      <c r="W13" s="162"/>
      <c r="X13" s="162"/>
      <c r="Y13" s="162"/>
      <c r="Z13" s="162"/>
      <c r="AA13" s="162"/>
      <c r="AB13" s="162"/>
      <c r="AC13" s="162"/>
      <c r="AD13" s="162"/>
    </row>
    <row r="14" spans="1:30">
      <c r="A14" s="68" t="s">
        <v>21</v>
      </c>
      <c r="B14" s="4"/>
      <c r="C14" s="4"/>
      <c r="D14" s="4"/>
      <c r="E14" s="4"/>
      <c r="F14" s="4"/>
      <c r="G14" s="4"/>
      <c r="H14" s="4"/>
      <c r="I14" s="162"/>
      <c r="J14" s="162"/>
      <c r="K14" s="162"/>
      <c r="L14" s="162"/>
      <c r="M14" s="162"/>
      <c r="N14" s="162"/>
      <c r="O14" s="162"/>
      <c r="P14" s="162"/>
      <c r="Q14" s="162"/>
      <c r="R14" s="162"/>
      <c r="S14" s="162"/>
      <c r="T14" s="162"/>
      <c r="U14" s="162"/>
      <c r="V14" s="162"/>
      <c r="W14" s="162"/>
      <c r="X14" s="162"/>
      <c r="Y14" s="162"/>
      <c r="Z14" s="162"/>
      <c r="AA14" s="162"/>
      <c r="AB14" s="162"/>
      <c r="AC14" s="162"/>
      <c r="AD14" s="162"/>
    </row>
    <row r="15" spans="1:30">
      <c r="A15" s="68" t="s">
        <v>23</v>
      </c>
      <c r="B15" s="4"/>
      <c r="C15" s="4"/>
      <c r="D15" s="4"/>
      <c r="E15" s="4"/>
      <c r="F15" s="4"/>
      <c r="G15" s="4"/>
      <c r="H15" s="4"/>
      <c r="I15" s="162"/>
      <c r="J15" s="162"/>
      <c r="K15" s="162"/>
      <c r="L15" s="162"/>
      <c r="M15" s="162"/>
      <c r="N15" s="162"/>
      <c r="O15" s="162"/>
      <c r="P15" s="162"/>
      <c r="Q15" s="162"/>
      <c r="R15" s="162"/>
      <c r="S15" s="162"/>
      <c r="T15" s="162"/>
      <c r="U15" s="162"/>
      <c r="V15" s="162"/>
      <c r="W15" s="162"/>
      <c r="X15" s="162"/>
      <c r="Y15" s="162"/>
      <c r="Z15" s="162"/>
      <c r="AA15" s="162"/>
      <c r="AB15" s="162"/>
      <c r="AC15" s="162"/>
      <c r="AD15" s="162"/>
    </row>
    <row r="16" spans="1:30">
      <c r="A16" s="68" t="s">
        <v>22</v>
      </c>
      <c r="B16" s="4"/>
      <c r="C16" s="4"/>
      <c r="D16" s="4"/>
      <c r="E16" s="4"/>
      <c r="F16" s="4"/>
      <c r="G16" s="4"/>
      <c r="H16" s="4"/>
      <c r="I16" s="162"/>
      <c r="J16" s="162"/>
      <c r="K16" s="162"/>
      <c r="L16" s="162"/>
      <c r="M16" s="162"/>
      <c r="N16" s="162"/>
      <c r="O16" s="162"/>
      <c r="P16" s="162"/>
      <c r="Q16" s="162"/>
      <c r="R16" s="162"/>
      <c r="S16" s="162"/>
      <c r="T16" s="162"/>
      <c r="U16" s="162"/>
      <c r="V16" s="162"/>
      <c r="W16" s="162"/>
      <c r="X16" s="162"/>
      <c r="Y16" s="162"/>
      <c r="Z16" s="162"/>
      <c r="AA16" s="162"/>
      <c r="AB16" s="162"/>
      <c r="AC16" s="162"/>
      <c r="AD16" s="162"/>
    </row>
    <row r="17" spans="1:30">
      <c r="A17" s="68" t="s">
        <v>24</v>
      </c>
      <c r="B17" s="4"/>
      <c r="C17" s="4"/>
      <c r="D17" s="4"/>
      <c r="E17" s="4"/>
      <c r="F17" s="4"/>
      <c r="G17" s="4"/>
      <c r="H17" s="4"/>
      <c r="I17" s="162"/>
      <c r="J17" s="162"/>
      <c r="K17" s="162"/>
      <c r="L17" s="162"/>
      <c r="M17" s="162"/>
      <c r="N17" s="162"/>
      <c r="O17" s="162"/>
      <c r="P17" s="162"/>
      <c r="Q17" s="162"/>
      <c r="R17" s="162"/>
      <c r="S17" s="162"/>
      <c r="T17" s="162"/>
      <c r="U17" s="162"/>
      <c r="V17" s="162"/>
      <c r="W17" s="162"/>
      <c r="X17" s="162"/>
      <c r="Y17" s="162"/>
      <c r="Z17" s="162"/>
      <c r="AA17" s="162"/>
      <c r="AB17" s="162"/>
      <c r="AC17" s="162"/>
      <c r="AD17" s="162"/>
    </row>
    <row r="18" spans="1:30">
      <c r="A18" s="8" t="s">
        <v>25</v>
      </c>
      <c r="B18" s="4"/>
      <c r="C18" s="4"/>
      <c r="D18" s="4"/>
      <c r="E18" s="4"/>
      <c r="F18" s="4"/>
      <c r="G18" s="4"/>
      <c r="H18" s="4"/>
      <c r="I18" s="162"/>
      <c r="J18" s="162"/>
      <c r="K18" s="162"/>
      <c r="L18" s="162"/>
      <c r="M18" s="162"/>
      <c r="N18" s="162"/>
      <c r="O18" s="162"/>
      <c r="P18" s="162"/>
      <c r="Q18" s="162"/>
      <c r="R18" s="162"/>
      <c r="S18" s="162"/>
      <c r="T18" s="162"/>
      <c r="U18" s="162"/>
      <c r="V18" s="162"/>
      <c r="W18" s="162"/>
      <c r="X18" s="162"/>
      <c r="Y18" s="162"/>
      <c r="Z18" s="162"/>
      <c r="AA18" s="162"/>
      <c r="AB18" s="162"/>
      <c r="AC18" s="162"/>
      <c r="AD18" s="162"/>
    </row>
    <row r="19" spans="1:30">
      <c r="A19" s="68" t="s">
        <v>26</v>
      </c>
      <c r="B19" s="4"/>
      <c r="C19" s="4"/>
      <c r="D19" s="4"/>
      <c r="E19" s="4"/>
      <c r="F19" s="4"/>
      <c r="G19" s="4"/>
      <c r="H19" s="4"/>
      <c r="I19" s="162"/>
      <c r="J19" s="162"/>
      <c r="K19" s="162"/>
      <c r="L19" s="162"/>
      <c r="M19" s="162"/>
      <c r="N19" s="162"/>
      <c r="O19" s="162"/>
      <c r="P19" s="162"/>
      <c r="Q19" s="162"/>
      <c r="R19" s="162"/>
      <c r="S19" s="162"/>
      <c r="T19" s="162"/>
      <c r="U19" s="162"/>
      <c r="V19" s="162"/>
      <c r="W19" s="162"/>
      <c r="X19" s="162"/>
      <c r="Y19" s="162"/>
      <c r="Z19" s="162"/>
      <c r="AA19" s="162"/>
      <c r="AB19" s="162"/>
      <c r="AC19" s="162"/>
      <c r="AD19" s="162"/>
    </row>
    <row r="20" spans="1:30">
      <c r="A20" s="8" t="s">
        <v>27</v>
      </c>
      <c r="B20" s="4"/>
      <c r="C20" s="4"/>
      <c r="D20" s="4"/>
      <c r="E20" s="4"/>
      <c r="F20" s="4"/>
      <c r="G20" s="4"/>
      <c r="H20" s="4"/>
      <c r="I20" s="162"/>
      <c r="J20" s="162"/>
      <c r="K20" s="162"/>
      <c r="L20" s="162"/>
      <c r="M20" s="162"/>
      <c r="N20" s="162"/>
      <c r="O20" s="162"/>
      <c r="P20" s="162"/>
      <c r="Q20" s="162"/>
      <c r="R20" s="162"/>
      <c r="S20" s="162"/>
      <c r="T20" s="162"/>
      <c r="U20" s="162"/>
      <c r="V20" s="162"/>
      <c r="W20" s="162"/>
      <c r="X20" s="162"/>
      <c r="Y20" s="162"/>
      <c r="Z20" s="162"/>
      <c r="AA20" s="162"/>
      <c r="AB20" s="162"/>
      <c r="AC20" s="162"/>
      <c r="AD20" s="162"/>
    </row>
    <row r="21" spans="1:30">
      <c r="A21" s="68" t="s">
        <v>100</v>
      </c>
      <c r="B21" s="4"/>
      <c r="C21" s="4"/>
      <c r="D21" s="4"/>
      <c r="E21" s="4"/>
      <c r="F21" s="4"/>
      <c r="G21" s="4"/>
      <c r="H21" s="4"/>
      <c r="I21" s="162"/>
      <c r="J21" s="162"/>
      <c r="K21" s="162"/>
      <c r="L21" s="162"/>
      <c r="M21" s="162"/>
      <c r="N21" s="162"/>
      <c r="O21" s="162"/>
      <c r="P21" s="162"/>
      <c r="Q21" s="162"/>
      <c r="R21" s="162"/>
      <c r="S21" s="162"/>
      <c r="T21" s="162"/>
      <c r="U21" s="162"/>
      <c r="V21" s="162"/>
      <c r="W21" s="162"/>
      <c r="X21" s="162"/>
      <c r="Y21" s="162"/>
      <c r="Z21" s="162"/>
      <c r="AA21" s="162"/>
      <c r="AB21" s="162"/>
      <c r="AC21" s="162"/>
      <c r="AD21" s="162"/>
    </row>
    <row r="22" spans="1:30">
      <c r="A22" s="765" t="s">
        <v>1363</v>
      </c>
      <c r="B22" s="4"/>
      <c r="C22" s="4"/>
      <c r="D22" s="4"/>
      <c r="E22" s="4"/>
      <c r="F22" s="4"/>
      <c r="G22" s="4"/>
      <c r="H22" s="4"/>
      <c r="I22" s="162"/>
      <c r="J22" s="162"/>
      <c r="K22" s="162"/>
      <c r="L22" s="162"/>
      <c r="M22" s="162"/>
      <c r="N22" s="162"/>
      <c r="O22" s="162"/>
      <c r="P22" s="162"/>
      <c r="Q22" s="162"/>
      <c r="R22" s="162"/>
      <c r="S22" s="162"/>
      <c r="T22" s="162"/>
      <c r="U22" s="162"/>
      <c r="V22" s="162"/>
      <c r="W22" s="162"/>
      <c r="X22" s="162"/>
      <c r="Y22" s="162"/>
      <c r="Z22" s="162"/>
      <c r="AA22" s="162"/>
      <c r="AB22" s="162"/>
      <c r="AC22" s="162"/>
      <c r="AD22" s="162"/>
    </row>
    <row r="23" spans="1:30">
      <c r="A23" s="9"/>
      <c r="B23" s="4"/>
      <c r="C23" s="4"/>
      <c r="D23" s="4"/>
      <c r="E23" s="4"/>
      <c r="F23" s="4"/>
      <c r="G23" s="4"/>
      <c r="H23" s="4"/>
      <c r="I23" s="162"/>
      <c r="J23" s="162"/>
      <c r="K23" s="162"/>
      <c r="L23" s="162"/>
      <c r="M23" s="162"/>
      <c r="N23" s="162"/>
      <c r="O23" s="162"/>
      <c r="P23" s="162"/>
      <c r="Q23" s="162"/>
      <c r="R23" s="162"/>
      <c r="S23" s="162"/>
      <c r="T23" s="162"/>
      <c r="U23" s="162"/>
      <c r="V23" s="162"/>
      <c r="W23" s="162"/>
      <c r="X23" s="162"/>
      <c r="Y23" s="162"/>
      <c r="Z23" s="162"/>
      <c r="AA23" s="162"/>
      <c r="AB23" s="162"/>
      <c r="AC23" s="162"/>
      <c r="AD23" s="162"/>
    </row>
    <row r="24" spans="1:30" ht="15" thickBot="1">
      <c r="A24" s="7" t="s">
        <v>1181</v>
      </c>
      <c r="B24" s="4"/>
      <c r="C24" s="4"/>
      <c r="D24" s="4"/>
      <c r="E24" s="4"/>
      <c r="F24" s="4"/>
      <c r="G24" s="4"/>
      <c r="H24" s="4"/>
      <c r="I24" s="162"/>
      <c r="J24" s="162"/>
      <c r="K24" s="162"/>
      <c r="L24" s="162"/>
      <c r="M24" s="162"/>
      <c r="N24" s="162"/>
      <c r="O24" s="162"/>
      <c r="P24" s="162"/>
      <c r="Q24" s="162"/>
      <c r="R24" s="162"/>
      <c r="S24" s="162"/>
      <c r="T24" s="162"/>
      <c r="U24" s="162"/>
      <c r="V24" s="162"/>
      <c r="W24" s="162"/>
      <c r="X24" s="162"/>
      <c r="Y24" s="162"/>
      <c r="Z24" s="162"/>
      <c r="AA24" s="162"/>
      <c r="AB24" s="162"/>
      <c r="AC24" s="162"/>
      <c r="AD24" s="162"/>
    </row>
    <row r="25" spans="1:30" ht="14.25">
      <c r="A25" s="12" t="s">
        <v>28</v>
      </c>
      <c r="B25" s="13" t="s">
        <v>28</v>
      </c>
      <c r="C25" s="13" t="s">
        <v>105</v>
      </c>
      <c r="D25" s="13" t="s">
        <v>106</v>
      </c>
      <c r="E25" s="13" t="s">
        <v>108</v>
      </c>
      <c r="F25" s="14" t="s">
        <v>401</v>
      </c>
      <c r="G25" s="4"/>
      <c r="H25" s="4"/>
      <c r="I25" s="162"/>
      <c r="J25" s="162"/>
      <c r="K25" s="162"/>
      <c r="L25" s="162"/>
      <c r="M25" s="162"/>
      <c r="N25" s="162"/>
      <c r="O25" s="162"/>
      <c r="P25" s="162"/>
      <c r="Q25" s="162"/>
      <c r="R25" s="162"/>
      <c r="S25" s="162"/>
      <c r="T25" s="162"/>
      <c r="U25" s="162"/>
      <c r="V25" s="162"/>
      <c r="W25" s="162"/>
      <c r="X25" s="162"/>
      <c r="Y25" s="162"/>
      <c r="Z25" s="162"/>
      <c r="AA25" s="162"/>
      <c r="AB25" s="162"/>
      <c r="AC25" s="162"/>
      <c r="AD25" s="162"/>
    </row>
    <row r="26" spans="1:30">
      <c r="A26" s="30"/>
      <c r="B26" s="19" t="s">
        <v>128</v>
      </c>
      <c r="C26" s="19" t="s">
        <v>99</v>
      </c>
      <c r="D26" s="19" t="s">
        <v>107</v>
      </c>
      <c r="E26" s="19" t="s">
        <v>99</v>
      </c>
      <c r="F26" s="20" t="s">
        <v>173</v>
      </c>
      <c r="G26" s="4"/>
      <c r="H26" s="4"/>
      <c r="I26" s="162"/>
      <c r="J26" s="162"/>
      <c r="K26" s="162"/>
      <c r="L26" s="162"/>
      <c r="M26" s="162"/>
      <c r="N26" s="162"/>
      <c r="O26" s="162"/>
      <c r="P26" s="162"/>
      <c r="Q26" s="162"/>
      <c r="R26" s="162"/>
      <c r="S26" s="162"/>
      <c r="T26" s="162"/>
      <c r="U26" s="162"/>
      <c r="V26" s="162"/>
      <c r="W26" s="162"/>
      <c r="X26" s="162"/>
      <c r="Y26" s="162"/>
      <c r="Z26" s="162"/>
      <c r="AA26" s="162"/>
      <c r="AB26" s="162"/>
      <c r="AC26" s="162"/>
      <c r="AD26" s="162"/>
    </row>
    <row r="27" spans="1:30" ht="13.5" thickBot="1">
      <c r="A27" s="15"/>
      <c r="B27" s="16"/>
      <c r="C27" s="16" t="s">
        <v>181</v>
      </c>
      <c r="D27" s="16" t="s">
        <v>181</v>
      </c>
      <c r="E27" s="16" t="s">
        <v>181</v>
      </c>
      <c r="F27" s="17" t="s">
        <v>181</v>
      </c>
      <c r="G27" s="4"/>
      <c r="H27" s="4"/>
      <c r="I27" s="162"/>
      <c r="J27" s="162"/>
      <c r="K27" s="162"/>
      <c r="L27" s="162"/>
      <c r="M27" s="162"/>
      <c r="N27" s="162"/>
      <c r="O27" s="162"/>
      <c r="P27" s="162"/>
      <c r="Q27" s="162"/>
      <c r="R27" s="162"/>
      <c r="S27" s="162"/>
      <c r="T27" s="162"/>
      <c r="U27" s="162"/>
      <c r="V27" s="162"/>
      <c r="W27" s="162"/>
      <c r="X27" s="162"/>
      <c r="Y27" s="162"/>
      <c r="Z27" s="162"/>
      <c r="AA27" s="162"/>
      <c r="AB27" s="162"/>
      <c r="AC27" s="162"/>
      <c r="AD27" s="162"/>
    </row>
    <row r="28" spans="1:30" ht="15.75">
      <c r="A28" s="36" t="s">
        <v>182</v>
      </c>
      <c r="B28" s="78">
        <f t="shared" ref="B28:B35" si="0">VLOOKUP(A28,GWP,2,FALSE)</f>
        <v>1</v>
      </c>
      <c r="C28" s="373"/>
      <c r="D28" s="373"/>
      <c r="E28" s="373"/>
      <c r="F28" s="374" t="str">
        <f>IF(($C28+$D28+$E28)*$B28=0,"",($C28+$D28+$E28)*$B28)</f>
        <v/>
      </c>
      <c r="G28" s="4"/>
      <c r="H28" s="4"/>
      <c r="I28" s="162"/>
      <c r="J28" s="162"/>
      <c r="K28" s="162"/>
      <c r="L28" s="162"/>
      <c r="M28" s="162"/>
      <c r="N28" s="162"/>
      <c r="O28" s="162"/>
      <c r="P28" s="162"/>
      <c r="Q28" s="162"/>
      <c r="R28" s="162"/>
      <c r="S28" s="162"/>
      <c r="T28" s="162"/>
      <c r="U28" s="162"/>
      <c r="V28" s="162"/>
      <c r="W28" s="162"/>
      <c r="X28" s="162"/>
      <c r="Y28" s="162"/>
      <c r="Z28" s="162"/>
      <c r="AA28" s="162"/>
      <c r="AB28" s="162"/>
      <c r="AC28" s="162"/>
      <c r="AD28" s="162"/>
    </row>
    <row r="29" spans="1:30">
      <c r="A29" s="1" t="s">
        <v>120</v>
      </c>
      <c r="B29" s="2">
        <f t="shared" si="0"/>
        <v>14800</v>
      </c>
      <c r="C29" s="375"/>
      <c r="D29" s="375"/>
      <c r="E29" s="375"/>
      <c r="F29" s="376" t="str">
        <f t="shared" ref="F29:F35" si="1">IF(($C29+$D29+$E29)*$B29=0,"",($C29+$D29+$E29)*$B29)</f>
        <v/>
      </c>
      <c r="G29" s="4"/>
      <c r="H29" s="4"/>
      <c r="I29" s="162"/>
      <c r="J29" s="162"/>
      <c r="K29" s="162"/>
      <c r="L29" s="162"/>
      <c r="M29" s="162"/>
      <c r="N29" s="162"/>
      <c r="O29" s="162"/>
      <c r="P29" s="162"/>
      <c r="Q29" s="162"/>
      <c r="R29" s="162"/>
      <c r="S29" s="162"/>
      <c r="T29" s="162"/>
      <c r="U29" s="162"/>
      <c r="V29" s="162"/>
      <c r="W29" s="162"/>
      <c r="X29" s="162"/>
      <c r="Y29" s="162"/>
      <c r="Z29" s="162"/>
      <c r="AA29" s="162"/>
      <c r="AB29" s="162"/>
      <c r="AC29" s="162"/>
      <c r="AD29" s="162"/>
    </row>
    <row r="30" spans="1:30">
      <c r="A30" s="1" t="s">
        <v>122</v>
      </c>
      <c r="B30" s="2">
        <f t="shared" si="0"/>
        <v>3500</v>
      </c>
      <c r="C30" s="375"/>
      <c r="D30" s="375"/>
      <c r="E30" s="375"/>
      <c r="F30" s="376" t="str">
        <f t="shared" si="1"/>
        <v/>
      </c>
      <c r="G30" s="4"/>
      <c r="H30" s="4"/>
      <c r="I30" s="162"/>
      <c r="J30" s="162"/>
      <c r="K30" s="162"/>
      <c r="L30" s="162"/>
      <c r="M30" s="162"/>
      <c r="N30" s="162"/>
      <c r="O30" s="162"/>
      <c r="P30" s="162"/>
      <c r="Q30" s="162"/>
      <c r="R30" s="162"/>
      <c r="S30" s="162"/>
      <c r="T30" s="162"/>
      <c r="U30" s="162"/>
      <c r="V30" s="162"/>
      <c r="W30" s="162"/>
      <c r="X30" s="162"/>
      <c r="Y30" s="162"/>
      <c r="Z30" s="162"/>
      <c r="AA30" s="162"/>
      <c r="AB30" s="162"/>
      <c r="AC30" s="162"/>
      <c r="AD30" s="162"/>
    </row>
    <row r="31" spans="1:30">
      <c r="A31" s="1" t="s">
        <v>123</v>
      </c>
      <c r="B31" s="2">
        <f t="shared" si="0"/>
        <v>1430</v>
      </c>
      <c r="C31" s="375"/>
      <c r="D31" s="375"/>
      <c r="E31" s="375"/>
      <c r="F31" s="376" t="str">
        <f t="shared" si="1"/>
        <v/>
      </c>
      <c r="G31" s="4"/>
      <c r="H31" s="4"/>
      <c r="I31" s="162"/>
      <c r="J31" s="162"/>
      <c r="K31" s="162"/>
      <c r="L31" s="162"/>
      <c r="M31" s="162"/>
      <c r="N31" s="162"/>
      <c r="O31" s="162"/>
      <c r="P31" s="162"/>
      <c r="Q31" s="162"/>
      <c r="R31" s="162"/>
      <c r="S31" s="162"/>
      <c r="T31" s="162"/>
      <c r="U31" s="162"/>
      <c r="V31" s="162"/>
      <c r="W31" s="162"/>
      <c r="X31" s="162"/>
      <c r="Y31" s="162"/>
      <c r="Z31" s="162"/>
      <c r="AA31" s="162"/>
      <c r="AB31" s="162"/>
      <c r="AC31" s="162"/>
      <c r="AD31" s="162"/>
    </row>
    <row r="32" spans="1:30">
      <c r="A32" s="1" t="s">
        <v>126</v>
      </c>
      <c r="B32" s="2">
        <f t="shared" si="0"/>
        <v>3220</v>
      </c>
      <c r="C32" s="375"/>
      <c r="D32" s="375"/>
      <c r="E32" s="375"/>
      <c r="F32" s="376" t="str">
        <f t="shared" si="1"/>
        <v/>
      </c>
      <c r="G32" s="4"/>
      <c r="H32" s="4"/>
      <c r="I32" s="162"/>
      <c r="J32" s="162"/>
      <c r="K32" s="162"/>
      <c r="L32" s="162"/>
      <c r="M32" s="162"/>
      <c r="N32" s="162"/>
      <c r="O32" s="162"/>
      <c r="P32" s="162"/>
      <c r="Q32" s="162"/>
      <c r="R32" s="162"/>
      <c r="S32" s="162"/>
      <c r="T32" s="162"/>
      <c r="U32" s="162"/>
      <c r="V32" s="162"/>
      <c r="W32" s="162"/>
      <c r="X32" s="162"/>
      <c r="Y32" s="162"/>
      <c r="Z32" s="162"/>
      <c r="AA32" s="162"/>
      <c r="AB32" s="162"/>
      <c r="AC32" s="162"/>
      <c r="AD32" s="162"/>
    </row>
    <row r="33" spans="1:30">
      <c r="A33" s="199" t="s">
        <v>127</v>
      </c>
      <c r="B33" s="2">
        <f t="shared" si="0"/>
        <v>9810</v>
      </c>
      <c r="C33" s="375"/>
      <c r="D33" s="375"/>
      <c r="E33" s="375"/>
      <c r="F33" s="376" t="str">
        <f t="shared" si="1"/>
        <v/>
      </c>
      <c r="G33" s="4"/>
      <c r="H33" s="4"/>
      <c r="I33" s="162"/>
      <c r="J33" s="162"/>
      <c r="K33" s="162"/>
      <c r="L33" s="162"/>
      <c r="M33" s="162"/>
      <c r="N33" s="162"/>
      <c r="O33" s="162"/>
      <c r="P33" s="162"/>
      <c r="Q33" s="162"/>
      <c r="R33" s="162"/>
      <c r="S33" s="162"/>
      <c r="T33" s="162"/>
      <c r="U33" s="162"/>
      <c r="V33" s="162"/>
      <c r="W33" s="162"/>
      <c r="X33" s="162"/>
      <c r="Y33" s="162"/>
      <c r="Z33" s="162"/>
      <c r="AA33" s="162"/>
      <c r="AB33" s="162"/>
      <c r="AC33" s="162"/>
      <c r="AD33" s="162"/>
    </row>
    <row r="34" spans="1:30" ht="15.75">
      <c r="A34" s="199" t="s">
        <v>942</v>
      </c>
      <c r="B34" s="2">
        <f t="shared" si="0"/>
        <v>7390</v>
      </c>
      <c r="C34" s="375"/>
      <c r="D34" s="375"/>
      <c r="E34" s="375"/>
      <c r="F34" s="376" t="str">
        <f t="shared" si="1"/>
        <v/>
      </c>
      <c r="G34" s="4"/>
      <c r="H34" s="4"/>
      <c r="I34" s="162"/>
      <c r="J34" s="162"/>
      <c r="K34" s="162"/>
      <c r="L34" s="162"/>
      <c r="M34" s="162"/>
      <c r="N34" s="162"/>
      <c r="O34" s="162"/>
      <c r="P34" s="162"/>
      <c r="Q34" s="162"/>
      <c r="R34" s="162"/>
      <c r="S34" s="162"/>
      <c r="T34" s="162"/>
      <c r="U34" s="162"/>
      <c r="V34" s="162"/>
      <c r="W34" s="162"/>
      <c r="X34" s="162"/>
      <c r="Y34" s="162"/>
      <c r="Z34" s="162"/>
      <c r="AA34" s="162"/>
      <c r="AB34" s="162"/>
      <c r="AC34" s="162"/>
      <c r="AD34" s="162"/>
    </row>
    <row r="35" spans="1:30" ht="16.5" thickBot="1">
      <c r="A35" s="200" t="s">
        <v>549</v>
      </c>
      <c r="B35" s="79">
        <f t="shared" si="0"/>
        <v>8860</v>
      </c>
      <c r="C35" s="378"/>
      <c r="D35" s="378"/>
      <c r="E35" s="378"/>
      <c r="F35" s="379" t="str">
        <f t="shared" si="1"/>
        <v/>
      </c>
      <c r="G35" s="4"/>
      <c r="H35" s="4"/>
      <c r="I35" s="162"/>
      <c r="J35" s="162"/>
      <c r="K35" s="162"/>
      <c r="L35" s="162"/>
      <c r="M35" s="162"/>
      <c r="N35" s="162"/>
      <c r="O35" s="162"/>
      <c r="P35" s="162"/>
      <c r="Q35" s="162"/>
      <c r="R35" s="162"/>
      <c r="S35" s="162"/>
      <c r="T35" s="162"/>
      <c r="U35" s="162"/>
      <c r="V35" s="162"/>
      <c r="W35" s="162"/>
      <c r="X35" s="162"/>
      <c r="Y35" s="162"/>
      <c r="Z35" s="162"/>
      <c r="AA35" s="162"/>
      <c r="AB35" s="162"/>
      <c r="AC35" s="162"/>
      <c r="AD35" s="162"/>
    </row>
    <row r="36" spans="1:30">
      <c r="A36" s="9"/>
      <c r="B36" s="4"/>
      <c r="C36" s="4"/>
      <c r="D36" s="4"/>
      <c r="E36" s="4"/>
      <c r="F36" s="4"/>
      <c r="G36" s="4"/>
      <c r="H36" s="4"/>
      <c r="I36" s="162"/>
      <c r="J36" s="162"/>
      <c r="K36" s="162"/>
      <c r="L36" s="162"/>
      <c r="M36" s="162"/>
      <c r="N36" s="162"/>
      <c r="O36" s="162"/>
      <c r="P36" s="162"/>
      <c r="Q36" s="162"/>
      <c r="R36" s="162"/>
      <c r="S36" s="162"/>
      <c r="T36" s="162"/>
      <c r="U36" s="162"/>
      <c r="V36" s="162"/>
      <c r="W36" s="162"/>
      <c r="X36" s="162"/>
      <c r="Y36" s="162"/>
      <c r="Z36" s="162"/>
      <c r="AA36" s="162"/>
      <c r="AB36" s="162"/>
      <c r="AC36" s="162"/>
      <c r="AD36" s="162"/>
    </row>
    <row r="37" spans="1:30">
      <c r="A37" s="7" t="s">
        <v>996</v>
      </c>
      <c r="B37" s="4"/>
      <c r="C37" s="4"/>
      <c r="D37" s="4"/>
      <c r="E37" s="4"/>
      <c r="F37" s="4"/>
      <c r="G37" s="4"/>
      <c r="H37" s="4"/>
      <c r="I37" s="162"/>
      <c r="J37" s="162"/>
      <c r="K37" s="162"/>
      <c r="L37" s="162"/>
      <c r="M37" s="162"/>
      <c r="N37" s="162"/>
      <c r="O37" s="162"/>
      <c r="P37" s="162"/>
      <c r="Q37" s="162"/>
      <c r="R37" s="162"/>
      <c r="S37" s="162"/>
      <c r="T37" s="162"/>
      <c r="U37" s="162"/>
      <c r="V37" s="162"/>
      <c r="W37" s="162"/>
      <c r="X37" s="162"/>
      <c r="Y37" s="162"/>
      <c r="Z37" s="162"/>
      <c r="AA37" s="162"/>
      <c r="AB37" s="162"/>
      <c r="AC37" s="162"/>
      <c r="AD37" s="162"/>
    </row>
    <row r="38" spans="1:30">
      <c r="A38" s="68" t="s">
        <v>80</v>
      </c>
      <c r="B38" s="4"/>
      <c r="C38" s="4"/>
      <c r="D38" s="4"/>
      <c r="E38" s="4"/>
      <c r="F38" s="4"/>
      <c r="G38" s="4"/>
      <c r="H38" s="4"/>
      <c r="I38" s="162"/>
      <c r="J38" s="162"/>
      <c r="K38" s="162"/>
      <c r="L38" s="162"/>
      <c r="M38" s="162"/>
      <c r="N38" s="162"/>
      <c r="O38" s="162"/>
      <c r="P38" s="162"/>
      <c r="Q38" s="162"/>
      <c r="R38" s="162"/>
      <c r="S38" s="162"/>
      <c r="T38" s="162"/>
      <c r="U38" s="162"/>
      <c r="V38" s="162"/>
      <c r="W38" s="162"/>
      <c r="X38" s="162"/>
      <c r="Y38" s="162"/>
      <c r="Z38" s="162"/>
      <c r="AA38" s="162"/>
      <c r="AB38" s="162"/>
      <c r="AC38" s="162"/>
      <c r="AD38" s="162"/>
    </row>
    <row r="39" spans="1:30">
      <c r="A39" s="68" t="s">
        <v>710</v>
      </c>
      <c r="B39" s="4"/>
      <c r="C39" s="4"/>
      <c r="D39" s="4"/>
      <c r="E39" s="4"/>
      <c r="F39" s="4"/>
      <c r="G39" s="4"/>
      <c r="H39" s="4"/>
      <c r="I39" s="162"/>
      <c r="J39" s="162"/>
      <c r="K39" s="162"/>
      <c r="L39" s="162"/>
      <c r="M39" s="162"/>
      <c r="N39" s="162"/>
      <c r="O39" s="162"/>
      <c r="P39" s="162"/>
      <c r="Q39" s="162"/>
      <c r="R39" s="162"/>
      <c r="S39" s="162"/>
      <c r="T39" s="162"/>
      <c r="U39" s="162"/>
      <c r="V39" s="162"/>
      <c r="W39" s="162"/>
      <c r="X39" s="162"/>
      <c r="Y39" s="162"/>
      <c r="Z39" s="162"/>
      <c r="AA39" s="162"/>
      <c r="AB39" s="162"/>
      <c r="AC39" s="162"/>
      <c r="AD39" s="162"/>
    </row>
    <row r="40" spans="1:30">
      <c r="A40" s="8" t="s">
        <v>994</v>
      </c>
      <c r="B40" s="4"/>
      <c r="C40" s="4"/>
      <c r="D40" s="4"/>
      <c r="E40" s="4"/>
      <c r="F40" s="4"/>
      <c r="G40" s="4"/>
      <c r="H40" s="4"/>
      <c r="I40" s="162"/>
      <c r="J40" s="162"/>
      <c r="K40" s="162"/>
      <c r="L40" s="162"/>
      <c r="M40" s="162"/>
      <c r="N40" s="162"/>
      <c r="O40" s="162"/>
      <c r="P40" s="162"/>
      <c r="Q40" s="162"/>
      <c r="R40" s="162"/>
      <c r="S40" s="162"/>
      <c r="T40" s="162"/>
      <c r="U40" s="162"/>
      <c r="V40" s="162"/>
      <c r="W40" s="162"/>
      <c r="X40" s="162"/>
      <c r="Y40" s="162"/>
      <c r="Z40" s="162"/>
      <c r="AA40" s="162"/>
      <c r="AB40" s="162"/>
      <c r="AC40" s="162"/>
      <c r="AD40" s="162"/>
    </row>
    <row r="41" spans="1:30">
      <c r="A41" s="68" t="s">
        <v>2</v>
      </c>
      <c r="B41" s="4"/>
      <c r="C41" s="4"/>
      <c r="D41" s="4"/>
      <c r="E41" s="4"/>
      <c r="F41" s="4"/>
      <c r="G41" s="4"/>
      <c r="H41" s="4"/>
      <c r="I41" s="162"/>
      <c r="J41" s="162"/>
      <c r="K41" s="162"/>
      <c r="L41" s="162"/>
      <c r="M41" s="162"/>
      <c r="N41" s="162"/>
      <c r="O41" s="162"/>
      <c r="P41" s="162"/>
      <c r="Q41" s="162"/>
      <c r="R41" s="162"/>
      <c r="S41" s="162"/>
      <c r="T41" s="162"/>
      <c r="U41" s="162"/>
      <c r="V41" s="162"/>
      <c r="W41" s="162"/>
      <c r="X41" s="162"/>
      <c r="Y41" s="162"/>
      <c r="Z41" s="162"/>
      <c r="AA41" s="162"/>
      <c r="AB41" s="162"/>
      <c r="AC41" s="162"/>
      <c r="AD41" s="162"/>
    </row>
    <row r="42" spans="1:30">
      <c r="A42" s="68" t="s">
        <v>81</v>
      </c>
      <c r="B42" s="4"/>
      <c r="C42" s="4"/>
      <c r="D42" s="4"/>
      <c r="E42" s="4"/>
      <c r="F42" s="4"/>
      <c r="G42" s="4"/>
      <c r="H42" s="4"/>
      <c r="I42" s="162"/>
      <c r="J42" s="162"/>
      <c r="K42" s="162"/>
      <c r="L42" s="162"/>
      <c r="M42" s="162"/>
      <c r="N42" s="162"/>
      <c r="O42" s="162"/>
      <c r="P42" s="162"/>
      <c r="Q42" s="162"/>
      <c r="R42" s="162"/>
      <c r="S42" s="162"/>
      <c r="T42" s="162"/>
      <c r="U42" s="162"/>
      <c r="V42" s="162"/>
      <c r="W42" s="162"/>
      <c r="X42" s="162"/>
      <c r="Y42" s="162"/>
      <c r="Z42" s="162"/>
      <c r="AA42" s="162"/>
      <c r="AB42" s="162"/>
      <c r="AC42" s="162"/>
      <c r="AD42" s="162"/>
    </row>
    <row r="43" spans="1:30">
      <c r="A43" s="4"/>
      <c r="B43" s="4"/>
      <c r="C43" s="4"/>
      <c r="D43" s="4"/>
      <c r="E43" s="4"/>
      <c r="F43" s="4"/>
      <c r="G43" s="4"/>
      <c r="H43" s="4"/>
      <c r="I43" s="162"/>
      <c r="J43" s="162"/>
      <c r="K43" s="162"/>
      <c r="L43" s="162"/>
      <c r="M43" s="162"/>
      <c r="N43" s="162"/>
      <c r="O43" s="162"/>
      <c r="P43" s="162"/>
      <c r="Q43" s="162"/>
      <c r="R43" s="162"/>
      <c r="S43" s="162"/>
      <c r="T43" s="162"/>
      <c r="U43" s="162"/>
      <c r="V43" s="162"/>
      <c r="W43" s="162"/>
      <c r="X43" s="162"/>
      <c r="Y43" s="162"/>
      <c r="Z43" s="162"/>
      <c r="AA43" s="162"/>
      <c r="AB43" s="162"/>
      <c r="AC43" s="162"/>
      <c r="AD43" s="162"/>
    </row>
    <row r="44" spans="1:30" ht="15" thickBot="1">
      <c r="A44" s="7" t="s">
        <v>1182</v>
      </c>
      <c r="B44" s="4"/>
      <c r="C44" s="4"/>
      <c r="D44" s="4"/>
      <c r="E44" s="4"/>
      <c r="F44" s="4"/>
      <c r="G44" s="4"/>
      <c r="H44" s="4"/>
      <c r="I44" s="162"/>
      <c r="J44" s="162"/>
      <c r="K44" s="162"/>
      <c r="L44" s="162"/>
      <c r="M44" s="162"/>
      <c r="N44" s="162"/>
      <c r="O44" s="162"/>
      <c r="P44" s="162"/>
      <c r="Q44" s="162"/>
      <c r="R44" s="162"/>
      <c r="S44" s="162"/>
      <c r="T44" s="162"/>
      <c r="U44" s="162"/>
      <c r="V44" s="162"/>
      <c r="W44" s="162"/>
      <c r="X44" s="162"/>
      <c r="Y44" s="162"/>
      <c r="Z44" s="162"/>
      <c r="AA44" s="162"/>
      <c r="AB44" s="162"/>
      <c r="AC44" s="162"/>
      <c r="AD44" s="162"/>
    </row>
    <row r="45" spans="1:30" ht="14.25">
      <c r="A45" s="12"/>
      <c r="B45" s="13"/>
      <c r="C45" s="1228" t="s">
        <v>111</v>
      </c>
      <c r="D45" s="1229"/>
      <c r="E45" s="80" t="s">
        <v>112</v>
      </c>
      <c r="F45" s="1228" t="s">
        <v>113</v>
      </c>
      <c r="G45" s="1229"/>
      <c r="H45" s="14" t="s">
        <v>401</v>
      </c>
      <c r="I45" s="162"/>
      <c r="J45" s="162"/>
      <c r="K45" s="162"/>
      <c r="L45" s="162"/>
      <c r="M45" s="162"/>
      <c r="N45" s="162"/>
      <c r="O45" s="162"/>
      <c r="P45" s="162"/>
      <c r="Q45" s="162"/>
      <c r="R45" s="162"/>
      <c r="S45" s="162"/>
      <c r="T45" s="162"/>
      <c r="U45" s="162"/>
      <c r="V45" s="162"/>
      <c r="W45" s="162"/>
      <c r="X45" s="162"/>
      <c r="Y45" s="162"/>
      <c r="Z45" s="162"/>
      <c r="AA45" s="162"/>
      <c r="AB45" s="162"/>
      <c r="AC45" s="162"/>
      <c r="AD45" s="162"/>
    </row>
    <row r="46" spans="1:30">
      <c r="A46" s="30" t="s">
        <v>28</v>
      </c>
      <c r="B46" s="19" t="s">
        <v>28</v>
      </c>
      <c r="C46" s="81" t="s">
        <v>82</v>
      </c>
      <c r="D46" s="81" t="s">
        <v>108</v>
      </c>
      <c r="E46" s="81" t="s">
        <v>83</v>
      </c>
      <c r="F46" s="81" t="s">
        <v>108</v>
      </c>
      <c r="G46" s="81" t="s">
        <v>114</v>
      </c>
      <c r="H46" s="20" t="s">
        <v>173</v>
      </c>
      <c r="I46" s="162"/>
      <c r="J46" s="162"/>
      <c r="K46" s="162"/>
      <c r="L46" s="162"/>
      <c r="M46" s="162"/>
      <c r="N46" s="162"/>
      <c r="O46" s="162"/>
      <c r="P46" s="162"/>
      <c r="Q46" s="162"/>
      <c r="R46" s="162"/>
      <c r="S46" s="162"/>
      <c r="T46" s="162"/>
      <c r="U46" s="162"/>
      <c r="V46" s="162"/>
      <c r="W46" s="162"/>
      <c r="X46" s="162"/>
      <c r="Y46" s="162"/>
      <c r="Z46" s="162"/>
      <c r="AA46" s="162"/>
      <c r="AB46" s="162"/>
      <c r="AC46" s="162"/>
      <c r="AD46" s="162"/>
    </row>
    <row r="47" spans="1:30" ht="13.5" thickBot="1">
      <c r="A47" s="15"/>
      <c r="B47" s="16" t="s">
        <v>128</v>
      </c>
      <c r="C47" s="16" t="s">
        <v>181</v>
      </c>
      <c r="D47" s="16" t="s">
        <v>181</v>
      </c>
      <c r="E47" s="16" t="s">
        <v>181</v>
      </c>
      <c r="F47" s="16" t="s">
        <v>181</v>
      </c>
      <c r="G47" s="16" t="s">
        <v>181</v>
      </c>
      <c r="H47" s="17" t="s">
        <v>181</v>
      </c>
      <c r="I47" s="162"/>
      <c r="J47" s="162"/>
      <c r="K47" s="162"/>
      <c r="L47" s="162"/>
      <c r="M47" s="162"/>
      <c r="N47" s="162"/>
      <c r="O47" s="162"/>
      <c r="P47" s="162"/>
      <c r="Q47" s="162"/>
      <c r="R47" s="162"/>
      <c r="S47" s="162"/>
      <c r="T47" s="162"/>
      <c r="U47" s="162"/>
      <c r="V47" s="162"/>
      <c r="W47" s="162"/>
      <c r="X47" s="162"/>
      <c r="Y47" s="162"/>
      <c r="Z47" s="162"/>
      <c r="AA47" s="162"/>
      <c r="AB47" s="162"/>
      <c r="AC47" s="162"/>
      <c r="AD47" s="162"/>
    </row>
    <row r="48" spans="1:30" ht="15.75">
      <c r="A48" s="36" t="s">
        <v>182</v>
      </c>
      <c r="B48" s="2">
        <f t="shared" ref="B48:B55" si="2">VLOOKUP(A48,GWP,2,FALSE)</f>
        <v>1</v>
      </c>
      <c r="C48" s="373"/>
      <c r="D48" s="86"/>
      <c r="E48" s="86"/>
      <c r="F48" s="86"/>
      <c r="G48" s="86"/>
      <c r="H48" s="101" t="str">
        <f>IF(($C48-$D48+$E48+$F48-$G48)*$B48=0,"",($C48-$D48+$E48+$F48-$G48)*$B48)</f>
        <v/>
      </c>
      <c r="I48" s="162"/>
      <c r="J48" s="162"/>
      <c r="K48" s="162"/>
      <c r="L48" s="162"/>
      <c r="M48" s="162"/>
      <c r="N48" s="162"/>
      <c r="O48" s="162"/>
      <c r="P48" s="162"/>
      <c r="Q48" s="162"/>
      <c r="R48" s="162"/>
      <c r="S48" s="162"/>
      <c r="T48" s="162"/>
      <c r="U48" s="162"/>
      <c r="V48" s="162"/>
      <c r="W48" s="162"/>
      <c r="X48" s="162"/>
      <c r="Y48" s="162"/>
      <c r="Z48" s="162"/>
      <c r="AA48" s="162"/>
      <c r="AB48" s="162"/>
      <c r="AC48" s="162"/>
      <c r="AD48" s="162"/>
    </row>
    <row r="49" spans="1:30">
      <c r="A49" s="1" t="s">
        <v>120</v>
      </c>
      <c r="B49" s="2">
        <f t="shared" si="2"/>
        <v>14800</v>
      </c>
      <c r="C49" s="375"/>
      <c r="D49" s="87"/>
      <c r="E49" s="87"/>
      <c r="F49" s="87"/>
      <c r="G49" s="87"/>
      <c r="H49" s="102" t="str">
        <f t="shared" ref="H49:H55" si="3">IF(($C49-$D49+$E49+$F49-$G49)*$B49=0,"",($C49-$D49+$E49+$F49-$G49)*$B49)</f>
        <v/>
      </c>
      <c r="I49" s="162"/>
      <c r="J49" s="162"/>
      <c r="K49" s="162"/>
      <c r="L49" s="162"/>
      <c r="M49" s="162"/>
      <c r="N49" s="162"/>
      <c r="O49" s="162"/>
      <c r="P49" s="162"/>
      <c r="Q49" s="162"/>
      <c r="R49" s="162"/>
      <c r="S49" s="162"/>
      <c r="T49" s="162"/>
      <c r="U49" s="162"/>
      <c r="V49" s="162"/>
      <c r="W49" s="162"/>
      <c r="X49" s="162"/>
      <c r="Y49" s="162"/>
      <c r="Z49" s="162"/>
      <c r="AA49" s="162"/>
      <c r="AB49" s="162"/>
      <c r="AC49" s="162"/>
      <c r="AD49" s="162"/>
    </row>
    <row r="50" spans="1:30">
      <c r="A50" s="1" t="s">
        <v>122</v>
      </c>
      <c r="B50" s="2">
        <f t="shared" si="2"/>
        <v>3500</v>
      </c>
      <c r="C50" s="375"/>
      <c r="D50" s="87"/>
      <c r="E50" s="87"/>
      <c r="F50" s="87"/>
      <c r="G50" s="87"/>
      <c r="H50" s="102" t="str">
        <f t="shared" si="3"/>
        <v/>
      </c>
      <c r="I50" s="162"/>
      <c r="J50" s="162"/>
      <c r="K50" s="162"/>
      <c r="L50" s="162"/>
      <c r="M50" s="162"/>
      <c r="N50" s="162"/>
      <c r="O50" s="162"/>
      <c r="P50" s="162"/>
      <c r="Q50" s="162"/>
      <c r="R50" s="162"/>
      <c r="S50" s="162"/>
      <c r="T50" s="162"/>
      <c r="U50" s="162"/>
      <c r="V50" s="162"/>
      <c r="W50" s="162"/>
      <c r="X50" s="162"/>
      <c r="Y50" s="162"/>
      <c r="Z50" s="162"/>
      <c r="AA50" s="162"/>
      <c r="AB50" s="162"/>
      <c r="AC50" s="162"/>
      <c r="AD50" s="162"/>
    </row>
    <row r="51" spans="1:30">
      <c r="A51" s="1" t="s">
        <v>123</v>
      </c>
      <c r="B51" s="2">
        <f t="shared" si="2"/>
        <v>1430</v>
      </c>
      <c r="C51" s="375"/>
      <c r="D51" s="87"/>
      <c r="E51" s="87"/>
      <c r="F51" s="87"/>
      <c r="G51" s="87"/>
      <c r="H51" s="102" t="str">
        <f t="shared" si="3"/>
        <v/>
      </c>
      <c r="I51" s="162"/>
      <c r="J51" s="162"/>
      <c r="K51" s="162"/>
      <c r="L51" s="162"/>
      <c r="M51" s="162"/>
      <c r="N51" s="162"/>
      <c r="O51" s="162"/>
      <c r="P51" s="162"/>
      <c r="Q51" s="162"/>
      <c r="R51" s="162"/>
      <c r="S51" s="162"/>
      <c r="T51" s="162"/>
      <c r="U51" s="162"/>
      <c r="V51" s="162"/>
      <c r="W51" s="162"/>
      <c r="X51" s="162"/>
      <c r="Y51" s="162"/>
      <c r="Z51" s="162"/>
      <c r="AA51" s="162"/>
      <c r="AB51" s="162"/>
      <c r="AC51" s="162"/>
      <c r="AD51" s="162"/>
    </row>
    <row r="52" spans="1:30">
      <c r="A52" s="1" t="s">
        <v>126</v>
      </c>
      <c r="B52" s="2">
        <f t="shared" si="2"/>
        <v>3220</v>
      </c>
      <c r="C52" s="375"/>
      <c r="D52" s="87"/>
      <c r="E52" s="87"/>
      <c r="F52" s="87"/>
      <c r="G52" s="87"/>
      <c r="H52" s="102" t="str">
        <f t="shared" si="3"/>
        <v/>
      </c>
      <c r="I52" s="162"/>
      <c r="J52" s="162"/>
      <c r="K52" s="162"/>
      <c r="L52" s="162"/>
      <c r="M52" s="162"/>
      <c r="N52" s="162"/>
      <c r="O52" s="162"/>
      <c r="P52" s="162"/>
      <c r="Q52" s="162"/>
      <c r="R52" s="162"/>
      <c r="S52" s="162"/>
      <c r="T52" s="162"/>
      <c r="U52" s="162"/>
      <c r="V52" s="162"/>
      <c r="W52" s="162"/>
      <c r="X52" s="162"/>
      <c r="Y52" s="162"/>
      <c r="Z52" s="162"/>
      <c r="AA52" s="162"/>
      <c r="AB52" s="162"/>
      <c r="AC52" s="162"/>
      <c r="AD52" s="162"/>
    </row>
    <row r="53" spans="1:30">
      <c r="A53" s="1" t="s">
        <v>127</v>
      </c>
      <c r="B53" s="2">
        <f t="shared" si="2"/>
        <v>9810</v>
      </c>
      <c r="C53" s="375"/>
      <c r="D53" s="87"/>
      <c r="E53" s="87"/>
      <c r="F53" s="87"/>
      <c r="G53" s="87"/>
      <c r="H53" s="102" t="str">
        <f t="shared" si="3"/>
        <v/>
      </c>
      <c r="I53" s="162"/>
      <c r="J53" s="162"/>
      <c r="K53" s="162"/>
      <c r="L53" s="162"/>
      <c r="M53" s="162"/>
      <c r="N53" s="162"/>
      <c r="O53" s="162"/>
      <c r="P53" s="162"/>
      <c r="Q53" s="162"/>
      <c r="R53" s="162"/>
      <c r="S53" s="162"/>
      <c r="T53" s="162"/>
      <c r="U53" s="162"/>
      <c r="V53" s="162"/>
      <c r="W53" s="162"/>
      <c r="X53" s="162"/>
      <c r="Y53" s="162"/>
      <c r="Z53" s="162"/>
      <c r="AA53" s="162"/>
      <c r="AB53" s="162"/>
      <c r="AC53" s="162"/>
      <c r="AD53" s="162"/>
    </row>
    <row r="54" spans="1:30" ht="15.75">
      <c r="A54" s="199" t="s">
        <v>942</v>
      </c>
      <c r="B54" s="2">
        <f t="shared" si="2"/>
        <v>7390</v>
      </c>
      <c r="C54" s="375"/>
      <c r="D54" s="87"/>
      <c r="E54" s="87"/>
      <c r="F54" s="87"/>
      <c r="G54" s="87"/>
      <c r="H54" s="102" t="str">
        <f t="shared" si="3"/>
        <v/>
      </c>
      <c r="I54" s="162"/>
      <c r="J54" s="162"/>
      <c r="K54" s="162"/>
      <c r="L54" s="162"/>
      <c r="M54" s="162"/>
      <c r="N54" s="162"/>
      <c r="O54" s="162"/>
      <c r="P54" s="162"/>
      <c r="Q54" s="162"/>
      <c r="R54" s="162"/>
      <c r="S54" s="162"/>
      <c r="T54" s="162"/>
      <c r="U54" s="162"/>
      <c r="V54" s="162"/>
      <c r="W54" s="162"/>
      <c r="X54" s="162"/>
      <c r="Y54" s="162"/>
      <c r="Z54" s="162"/>
      <c r="AA54" s="162"/>
      <c r="AB54" s="162"/>
      <c r="AC54" s="162"/>
      <c r="AD54" s="162"/>
    </row>
    <row r="55" spans="1:30" ht="16.5" thickBot="1">
      <c r="A55" s="200" t="s">
        <v>549</v>
      </c>
      <c r="B55" s="79">
        <f t="shared" si="2"/>
        <v>8860</v>
      </c>
      <c r="C55" s="378"/>
      <c r="D55" s="88"/>
      <c r="E55" s="88"/>
      <c r="F55" s="88"/>
      <c r="G55" s="88"/>
      <c r="H55" s="103" t="str">
        <f t="shared" si="3"/>
        <v/>
      </c>
      <c r="I55" s="162"/>
      <c r="J55" s="162"/>
      <c r="K55" s="162"/>
      <c r="L55" s="162"/>
      <c r="M55" s="162"/>
      <c r="N55" s="162"/>
      <c r="O55" s="162"/>
      <c r="P55" s="162"/>
      <c r="Q55" s="162"/>
      <c r="R55" s="162"/>
      <c r="S55" s="162"/>
      <c r="T55" s="162"/>
      <c r="U55" s="162"/>
      <c r="V55" s="162"/>
      <c r="W55" s="162"/>
      <c r="X55" s="162"/>
      <c r="Y55" s="162"/>
      <c r="Z55" s="162"/>
      <c r="AA55" s="162"/>
      <c r="AB55" s="162"/>
      <c r="AC55" s="162"/>
      <c r="AD55" s="162"/>
    </row>
    <row r="56" spans="1:30">
      <c r="A56" s="4"/>
      <c r="B56" s="4"/>
      <c r="C56" s="63"/>
      <c r="D56" s="63"/>
      <c r="E56" s="63"/>
      <c r="F56" s="63"/>
      <c r="G56" s="63"/>
      <c r="H56" s="72"/>
      <c r="I56" s="162"/>
      <c r="J56" s="162"/>
      <c r="K56" s="162"/>
      <c r="L56" s="162"/>
      <c r="M56" s="162"/>
      <c r="N56" s="162"/>
      <c r="O56" s="162"/>
      <c r="P56" s="162"/>
      <c r="Q56" s="162"/>
      <c r="R56" s="162"/>
      <c r="S56" s="162"/>
      <c r="T56" s="162"/>
      <c r="U56" s="162"/>
      <c r="V56" s="162"/>
      <c r="W56" s="162"/>
      <c r="X56" s="162"/>
      <c r="Y56" s="162"/>
      <c r="Z56" s="162"/>
      <c r="AA56" s="162"/>
      <c r="AB56" s="162"/>
      <c r="AC56" s="162"/>
      <c r="AD56" s="162"/>
    </row>
    <row r="57" spans="1:30">
      <c r="A57" s="7" t="s">
        <v>310</v>
      </c>
      <c r="B57" s="4"/>
      <c r="C57" s="4"/>
      <c r="D57" s="4"/>
      <c r="E57" s="4"/>
      <c r="F57" s="4"/>
      <c r="G57" s="4"/>
      <c r="H57" s="4"/>
      <c r="I57" s="162"/>
      <c r="J57" s="162"/>
      <c r="K57" s="162"/>
      <c r="L57" s="162"/>
      <c r="M57" s="162"/>
      <c r="N57" s="162"/>
      <c r="O57" s="162"/>
      <c r="P57" s="162"/>
      <c r="Q57" s="162"/>
      <c r="R57" s="162"/>
      <c r="S57" s="162"/>
      <c r="T57" s="162"/>
      <c r="U57" s="162"/>
      <c r="V57" s="162"/>
      <c r="W57" s="162"/>
      <c r="X57" s="162"/>
      <c r="Y57" s="162"/>
      <c r="Z57" s="162"/>
      <c r="AA57" s="162"/>
      <c r="AB57" s="162"/>
      <c r="AC57" s="162"/>
      <c r="AD57" s="162"/>
    </row>
    <row r="58" spans="1:30">
      <c r="A58" s="68" t="s">
        <v>30</v>
      </c>
      <c r="B58" s="4"/>
      <c r="C58" s="4"/>
      <c r="D58" s="4"/>
      <c r="E58" s="4"/>
      <c r="F58" s="4"/>
      <c r="G58" s="4"/>
      <c r="H58" s="4"/>
      <c r="I58" s="162"/>
      <c r="J58" s="162"/>
      <c r="K58" s="162"/>
      <c r="L58" s="162"/>
      <c r="M58" s="162"/>
      <c r="N58" s="162"/>
      <c r="O58" s="162"/>
      <c r="P58" s="162"/>
      <c r="Q58" s="162"/>
      <c r="R58" s="162"/>
      <c r="S58" s="162"/>
      <c r="T58" s="162"/>
      <c r="U58" s="162"/>
      <c r="V58" s="162"/>
      <c r="W58" s="162"/>
      <c r="X58" s="162"/>
      <c r="Y58" s="162"/>
      <c r="Z58" s="162"/>
      <c r="AA58" s="162"/>
      <c r="AB58" s="162"/>
      <c r="AC58" s="162"/>
      <c r="AD58" s="162"/>
    </row>
    <row r="59" spans="1:30">
      <c r="A59" s="68" t="s">
        <v>35</v>
      </c>
      <c r="B59" s="4"/>
      <c r="C59" s="4"/>
      <c r="D59" s="4"/>
      <c r="E59" s="4"/>
      <c r="F59" s="4"/>
      <c r="G59" s="4"/>
      <c r="H59" s="4"/>
      <c r="I59" s="162"/>
      <c r="J59" s="162"/>
      <c r="K59" s="162"/>
      <c r="L59" s="162"/>
      <c r="M59" s="162"/>
      <c r="N59" s="162"/>
      <c r="O59" s="162"/>
      <c r="P59" s="162"/>
      <c r="Q59" s="162"/>
      <c r="R59" s="162"/>
      <c r="S59" s="162"/>
      <c r="T59" s="162"/>
      <c r="U59" s="162"/>
      <c r="V59" s="162"/>
      <c r="W59" s="162"/>
      <c r="X59" s="162"/>
      <c r="Y59" s="162"/>
      <c r="Z59" s="162"/>
      <c r="AA59" s="162"/>
      <c r="AB59" s="162"/>
      <c r="AC59" s="162"/>
      <c r="AD59" s="162"/>
    </row>
    <row r="60" spans="1:30">
      <c r="A60" s="68" t="s">
        <v>37</v>
      </c>
      <c r="B60" s="4"/>
      <c r="C60" s="4"/>
      <c r="D60" s="4"/>
      <c r="E60" s="4"/>
      <c r="F60" s="4"/>
      <c r="G60" s="4"/>
      <c r="H60" s="4"/>
      <c r="I60" s="162"/>
      <c r="J60" s="162"/>
      <c r="K60" s="162"/>
      <c r="L60" s="162"/>
      <c r="M60" s="162"/>
      <c r="N60" s="162"/>
      <c r="O60" s="162"/>
      <c r="P60" s="162"/>
      <c r="Q60" s="162"/>
      <c r="R60" s="162"/>
      <c r="S60" s="162"/>
      <c r="T60" s="162"/>
      <c r="U60" s="162"/>
      <c r="V60" s="162"/>
      <c r="W60" s="162"/>
      <c r="X60" s="162"/>
      <c r="Y60" s="162"/>
      <c r="Z60" s="162"/>
      <c r="AA60" s="162"/>
      <c r="AB60" s="162"/>
      <c r="AC60" s="162"/>
      <c r="AD60" s="162"/>
    </row>
    <row r="61" spans="1:30">
      <c r="A61" s="68" t="s">
        <v>36</v>
      </c>
      <c r="B61" s="4"/>
      <c r="C61" s="4"/>
      <c r="D61" s="4"/>
      <c r="E61" s="4"/>
      <c r="F61" s="4"/>
      <c r="G61" s="4"/>
      <c r="H61" s="4"/>
      <c r="I61" s="162"/>
      <c r="J61" s="162"/>
      <c r="K61" s="162"/>
      <c r="L61" s="162"/>
      <c r="M61" s="162"/>
      <c r="N61" s="162"/>
      <c r="O61" s="162"/>
      <c r="P61" s="162"/>
      <c r="Q61" s="162"/>
      <c r="R61" s="162"/>
      <c r="S61" s="162"/>
      <c r="T61" s="162"/>
      <c r="U61" s="162"/>
      <c r="V61" s="162"/>
      <c r="W61" s="162"/>
      <c r="X61" s="162"/>
      <c r="Y61" s="162"/>
      <c r="Z61" s="162"/>
      <c r="AA61" s="162"/>
      <c r="AB61" s="162"/>
      <c r="AC61" s="162"/>
      <c r="AD61" s="162"/>
    </row>
    <row r="62" spans="1:30">
      <c r="A62" s="68" t="s">
        <v>711</v>
      </c>
      <c r="B62" s="4"/>
      <c r="C62" s="4"/>
      <c r="D62" s="4"/>
      <c r="E62" s="4"/>
      <c r="F62" s="4"/>
      <c r="G62" s="4"/>
      <c r="H62" s="4"/>
      <c r="I62" s="162"/>
      <c r="J62" s="162"/>
      <c r="K62" s="162"/>
      <c r="L62" s="162"/>
      <c r="M62" s="162"/>
      <c r="N62" s="162"/>
      <c r="O62" s="162"/>
      <c r="P62" s="162"/>
      <c r="Q62" s="162"/>
      <c r="R62" s="162"/>
      <c r="S62" s="162"/>
      <c r="T62" s="162"/>
      <c r="U62" s="162"/>
      <c r="V62" s="162"/>
      <c r="W62" s="162"/>
      <c r="X62" s="162"/>
      <c r="Y62" s="162"/>
      <c r="Z62" s="162"/>
      <c r="AA62" s="162"/>
      <c r="AB62" s="162"/>
      <c r="AC62" s="162"/>
      <c r="AD62" s="162"/>
    </row>
    <row r="63" spans="1:30">
      <c r="A63" s="4"/>
      <c r="B63" s="4"/>
      <c r="C63" s="4"/>
      <c r="D63" s="4"/>
      <c r="E63" s="4"/>
      <c r="F63" s="4"/>
      <c r="G63" s="4"/>
      <c r="H63" s="4"/>
      <c r="I63" s="162"/>
      <c r="J63" s="162"/>
      <c r="K63" s="162"/>
      <c r="L63" s="162"/>
      <c r="M63" s="162"/>
      <c r="N63" s="162"/>
      <c r="O63" s="162"/>
      <c r="P63" s="162"/>
      <c r="Q63" s="162"/>
      <c r="R63" s="162"/>
      <c r="S63" s="162"/>
      <c r="T63" s="162"/>
      <c r="U63" s="162"/>
      <c r="V63" s="162"/>
      <c r="W63" s="162"/>
      <c r="X63" s="162"/>
      <c r="Y63" s="162"/>
      <c r="Z63" s="162"/>
      <c r="AA63" s="162"/>
      <c r="AB63" s="162"/>
      <c r="AC63" s="162"/>
      <c r="AD63" s="162"/>
    </row>
    <row r="64" spans="1:30" ht="15" thickBot="1">
      <c r="A64" s="7" t="s">
        <v>6</v>
      </c>
      <c r="B64" s="4"/>
      <c r="C64" s="4"/>
      <c r="D64" s="4"/>
      <c r="E64" s="4"/>
      <c r="F64" s="4"/>
      <c r="G64" s="4"/>
      <c r="H64" s="4"/>
      <c r="I64" s="162"/>
      <c r="J64" s="162"/>
      <c r="K64" s="162"/>
      <c r="L64" s="162"/>
      <c r="M64" s="162"/>
      <c r="N64" s="162"/>
      <c r="O64" s="162"/>
      <c r="P64" s="162"/>
      <c r="Q64" s="162"/>
      <c r="R64" s="162"/>
      <c r="S64" s="162"/>
      <c r="T64" s="162"/>
      <c r="U64" s="162"/>
      <c r="V64" s="162"/>
      <c r="W64" s="162"/>
      <c r="X64" s="162"/>
      <c r="Y64" s="162"/>
      <c r="Z64" s="162"/>
      <c r="AA64" s="162"/>
      <c r="AB64" s="162"/>
      <c r="AC64" s="162"/>
      <c r="AD64" s="162"/>
    </row>
    <row r="65" spans="1:30" ht="14.25">
      <c r="A65" s="12" t="s">
        <v>153</v>
      </c>
      <c r="B65" s="13" t="s">
        <v>32</v>
      </c>
      <c r="C65" s="13" t="s">
        <v>28</v>
      </c>
      <c r="D65" s="13" t="s">
        <v>28</v>
      </c>
      <c r="E65" s="13" t="s">
        <v>29</v>
      </c>
      <c r="F65" s="14" t="s">
        <v>401</v>
      </c>
      <c r="G65" s="4"/>
      <c r="H65" s="4"/>
      <c r="I65" s="162"/>
      <c r="J65" s="162"/>
      <c r="K65" s="162"/>
      <c r="L65" s="162"/>
      <c r="M65" s="162"/>
      <c r="N65" s="162"/>
      <c r="O65" s="162"/>
      <c r="P65" s="162"/>
      <c r="Q65" s="162"/>
      <c r="R65" s="162"/>
      <c r="S65" s="162"/>
      <c r="T65" s="162"/>
      <c r="U65" s="162"/>
      <c r="V65" s="162"/>
      <c r="W65" s="162"/>
      <c r="X65" s="162"/>
      <c r="Y65" s="162"/>
      <c r="Z65" s="162"/>
      <c r="AA65" s="162"/>
      <c r="AB65" s="162"/>
      <c r="AC65" s="162"/>
      <c r="AD65" s="162"/>
    </row>
    <row r="66" spans="1:30">
      <c r="A66" s="30" t="s">
        <v>156</v>
      </c>
      <c r="B66" s="19" t="s">
        <v>31</v>
      </c>
      <c r="C66" s="19" t="s">
        <v>191</v>
      </c>
      <c r="D66" s="19" t="s">
        <v>128</v>
      </c>
      <c r="E66" s="19" t="s">
        <v>108</v>
      </c>
      <c r="F66" s="20" t="s">
        <v>173</v>
      </c>
      <c r="G66" s="4"/>
      <c r="H66" s="4"/>
      <c r="I66" s="162"/>
      <c r="J66" s="162"/>
      <c r="K66" s="162"/>
      <c r="L66" s="162"/>
      <c r="M66" s="162"/>
      <c r="N66" s="162"/>
      <c r="O66" s="162"/>
      <c r="P66" s="162"/>
      <c r="Q66" s="162"/>
      <c r="R66" s="162"/>
      <c r="S66" s="162"/>
      <c r="T66" s="162"/>
      <c r="U66" s="162"/>
      <c r="V66" s="162"/>
      <c r="W66" s="162"/>
      <c r="X66" s="162"/>
      <c r="Y66" s="162"/>
      <c r="Z66" s="162"/>
      <c r="AA66" s="162"/>
      <c r="AB66" s="162"/>
      <c r="AC66" s="162"/>
      <c r="AD66" s="162"/>
    </row>
    <row r="67" spans="1:30" ht="13.5" thickBot="1">
      <c r="A67" s="15"/>
      <c r="B67" s="16" t="s">
        <v>33</v>
      </c>
      <c r="C67" s="16"/>
      <c r="D67" s="16"/>
      <c r="E67" s="16" t="s">
        <v>174</v>
      </c>
      <c r="F67" s="17" t="s">
        <v>174</v>
      </c>
      <c r="G67" s="183"/>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row>
    <row r="68" spans="1:30">
      <c r="A68" s="457" t="s">
        <v>16</v>
      </c>
      <c r="B68" s="449" t="s">
        <v>34</v>
      </c>
      <c r="C68" s="449" t="s">
        <v>123</v>
      </c>
      <c r="D68" s="450">
        <f t="shared" ref="D68:D104" si="4">IF($C68="","",VLOOKUP(C68,GWP,2,FALSE))</f>
        <v>1430</v>
      </c>
      <c r="E68" s="449">
        <v>1.3</v>
      </c>
      <c r="F68" s="456">
        <f>IF($B68="Fixed",$D68*Fixed_FireLeakRate*$E68,IF($B68="Portable",$D68*Portable_FireLeakRate*$E68,""))</f>
        <v>65.065000000000012</v>
      </c>
      <c r="G68" s="4"/>
      <c r="H68" s="4"/>
      <c r="I68" s="162"/>
      <c r="J68" s="162"/>
      <c r="K68" s="162"/>
      <c r="L68" s="162"/>
      <c r="M68" s="162"/>
      <c r="N68" s="162"/>
      <c r="O68" s="162"/>
      <c r="P68" s="162"/>
      <c r="Q68" s="162"/>
      <c r="R68" s="162"/>
      <c r="S68" s="162"/>
      <c r="T68" s="162"/>
      <c r="U68" s="162"/>
      <c r="V68" s="162"/>
      <c r="W68" s="162"/>
      <c r="X68" s="162"/>
      <c r="Y68" s="162"/>
      <c r="Z68" s="162"/>
      <c r="AA68" s="162"/>
      <c r="AB68" s="162"/>
      <c r="AC68" s="162"/>
      <c r="AD68" s="162"/>
    </row>
    <row r="69" spans="1:30">
      <c r="A69" s="168"/>
      <c r="B69" s="169"/>
      <c r="C69" s="169"/>
      <c r="D69" s="143" t="str">
        <f t="shared" si="4"/>
        <v/>
      </c>
      <c r="E69" s="176"/>
      <c r="F69" s="172" t="str">
        <f>IF($B69="Fixed",$D69*Fixed_FireLeakRate*$E69,IF($B69="Portable",$D69*Portable_FireLeakRate*$E69,""))</f>
        <v/>
      </c>
      <c r="G69" s="4"/>
      <c r="H69" s="4"/>
      <c r="I69" s="162"/>
      <c r="J69" s="162"/>
      <c r="K69" s="162"/>
      <c r="L69" s="162"/>
      <c r="M69" s="162"/>
      <c r="N69" s="162"/>
      <c r="O69" s="162"/>
      <c r="P69" s="162"/>
      <c r="Q69" s="162"/>
      <c r="R69" s="162"/>
      <c r="S69" s="162"/>
      <c r="T69" s="162"/>
      <c r="U69" s="162"/>
      <c r="V69" s="162"/>
      <c r="W69" s="162"/>
      <c r="X69" s="162"/>
      <c r="Y69" s="162"/>
      <c r="Z69" s="162"/>
      <c r="AA69" s="162"/>
      <c r="AB69" s="162"/>
      <c r="AC69" s="162"/>
      <c r="AD69" s="162"/>
    </row>
    <row r="70" spans="1:30">
      <c r="A70" s="93"/>
      <c r="B70" s="169"/>
      <c r="C70" s="28"/>
      <c r="D70" s="55" t="str">
        <f t="shared" si="4"/>
        <v/>
      </c>
      <c r="E70" s="176"/>
      <c r="F70" s="102" t="str">
        <f t="shared" ref="F70:F104" si="5">IF($B70="Fixed",$D70*0.015*$E70,IF($B70="Portable",$D70*0.02*$E70,""))</f>
        <v/>
      </c>
      <c r="G70" s="4"/>
      <c r="H70" s="4"/>
      <c r="I70" s="162"/>
      <c r="J70" s="162"/>
      <c r="K70" s="162"/>
      <c r="L70" s="162"/>
      <c r="M70" s="162"/>
      <c r="N70" s="162"/>
      <c r="O70" s="162"/>
      <c r="P70" s="162"/>
      <c r="Q70" s="162"/>
      <c r="R70" s="162"/>
      <c r="S70" s="162"/>
      <c r="T70" s="162"/>
      <c r="U70" s="162"/>
      <c r="V70" s="162"/>
      <c r="W70" s="162"/>
      <c r="X70" s="162"/>
      <c r="Y70" s="162"/>
      <c r="Z70" s="162"/>
      <c r="AA70" s="162"/>
      <c r="AB70" s="162"/>
      <c r="AC70" s="162"/>
      <c r="AD70" s="162"/>
    </row>
    <row r="71" spans="1:30">
      <c r="A71" s="93"/>
      <c r="B71" s="169"/>
      <c r="C71" s="28"/>
      <c r="D71" s="55" t="str">
        <f t="shared" si="4"/>
        <v/>
      </c>
      <c r="E71" s="176"/>
      <c r="F71" s="102" t="str">
        <f t="shared" si="5"/>
        <v/>
      </c>
      <c r="G71" s="4"/>
      <c r="H71" s="4"/>
      <c r="I71" s="162"/>
      <c r="J71" s="162"/>
      <c r="K71" s="162"/>
      <c r="L71" s="162"/>
      <c r="M71" s="162"/>
      <c r="N71" s="162"/>
      <c r="O71" s="162"/>
      <c r="P71" s="162"/>
      <c r="Q71" s="162"/>
      <c r="R71" s="162"/>
      <c r="S71" s="162"/>
      <c r="T71" s="162"/>
      <c r="U71" s="162"/>
      <c r="V71" s="162"/>
      <c r="W71" s="162"/>
      <c r="X71" s="162"/>
      <c r="Y71" s="162"/>
      <c r="Z71" s="162"/>
      <c r="AA71" s="162"/>
      <c r="AB71" s="162"/>
      <c r="AC71" s="162"/>
      <c r="AD71" s="162"/>
    </row>
    <row r="72" spans="1:30">
      <c r="A72" s="93"/>
      <c r="B72" s="169"/>
      <c r="C72" s="28"/>
      <c r="D72" s="55" t="str">
        <f t="shared" si="4"/>
        <v/>
      </c>
      <c r="E72" s="176"/>
      <c r="F72" s="102" t="str">
        <f t="shared" si="5"/>
        <v/>
      </c>
      <c r="G72" s="4"/>
      <c r="H72" s="4"/>
      <c r="I72" s="162"/>
      <c r="J72" s="162"/>
      <c r="K72" s="162"/>
      <c r="L72" s="162"/>
      <c r="M72" s="162"/>
      <c r="N72" s="162"/>
      <c r="O72" s="162"/>
      <c r="P72" s="162"/>
      <c r="Q72" s="162"/>
      <c r="R72" s="162"/>
      <c r="S72" s="162"/>
      <c r="T72" s="162"/>
      <c r="U72" s="162"/>
      <c r="V72" s="162"/>
      <c r="W72" s="162"/>
      <c r="X72" s="162"/>
      <c r="Y72" s="162"/>
      <c r="Z72" s="162"/>
      <c r="AA72" s="162"/>
      <c r="AB72" s="162"/>
      <c r="AC72" s="162"/>
      <c r="AD72" s="162"/>
    </row>
    <row r="73" spans="1:30">
      <c r="A73" s="93"/>
      <c r="B73" s="169"/>
      <c r="C73" s="28"/>
      <c r="D73" s="55" t="str">
        <f t="shared" si="4"/>
        <v/>
      </c>
      <c r="E73" s="176"/>
      <c r="F73" s="102" t="str">
        <f t="shared" si="5"/>
        <v/>
      </c>
      <c r="G73" s="4"/>
      <c r="H73" s="4"/>
      <c r="I73" s="162"/>
      <c r="J73" s="162"/>
      <c r="K73" s="162"/>
      <c r="L73" s="162"/>
      <c r="M73" s="162"/>
      <c r="N73" s="162"/>
      <c r="O73" s="162"/>
      <c r="P73" s="162"/>
      <c r="Q73" s="162"/>
      <c r="R73" s="162"/>
      <c r="S73" s="162"/>
      <c r="T73" s="162"/>
      <c r="U73" s="162"/>
      <c r="V73" s="162"/>
      <c r="W73" s="162"/>
      <c r="X73" s="162"/>
      <c r="Y73" s="162"/>
      <c r="Z73" s="162"/>
      <c r="AA73" s="162"/>
      <c r="AB73" s="162"/>
      <c r="AC73" s="162"/>
      <c r="AD73" s="162"/>
    </row>
    <row r="74" spans="1:30">
      <c r="A74" s="93"/>
      <c r="B74" s="169"/>
      <c r="C74" s="28"/>
      <c r="D74" s="55" t="str">
        <f t="shared" si="4"/>
        <v/>
      </c>
      <c r="E74" s="176"/>
      <c r="F74" s="102" t="str">
        <f t="shared" si="5"/>
        <v/>
      </c>
      <c r="G74" s="4"/>
      <c r="H74" s="4"/>
      <c r="I74" s="162"/>
      <c r="J74" s="162"/>
      <c r="K74" s="162"/>
      <c r="L74" s="162"/>
      <c r="M74" s="162"/>
      <c r="N74" s="162"/>
      <c r="O74" s="162"/>
      <c r="P74" s="162"/>
      <c r="Q74" s="162"/>
      <c r="R74" s="162"/>
      <c r="S74" s="162"/>
      <c r="T74" s="162"/>
      <c r="U74" s="162"/>
      <c r="V74" s="162"/>
      <c r="W74" s="162"/>
      <c r="X74" s="162"/>
      <c r="Y74" s="162"/>
      <c r="Z74" s="162"/>
      <c r="AA74" s="162"/>
      <c r="AB74" s="162"/>
      <c r="AC74" s="162"/>
      <c r="AD74" s="162"/>
    </row>
    <row r="75" spans="1:30">
      <c r="A75" s="93"/>
      <c r="B75" s="169"/>
      <c r="C75" s="28"/>
      <c r="D75" s="55" t="str">
        <f t="shared" si="4"/>
        <v/>
      </c>
      <c r="E75" s="176"/>
      <c r="F75" s="102" t="str">
        <f t="shared" si="5"/>
        <v/>
      </c>
      <c r="G75" s="4"/>
      <c r="H75" s="4"/>
      <c r="I75" s="162"/>
      <c r="J75" s="162"/>
      <c r="K75" s="162"/>
      <c r="L75" s="162"/>
      <c r="M75" s="162"/>
      <c r="N75" s="162"/>
      <c r="O75" s="162"/>
      <c r="P75" s="162"/>
      <c r="Q75" s="162"/>
      <c r="R75" s="162"/>
      <c r="S75" s="162"/>
      <c r="T75" s="162"/>
      <c r="U75" s="162"/>
      <c r="V75" s="162"/>
      <c r="W75" s="162"/>
      <c r="X75" s="162"/>
      <c r="Y75" s="162"/>
      <c r="Z75" s="162"/>
      <c r="AA75" s="162"/>
      <c r="AB75" s="162"/>
      <c r="AC75" s="162"/>
      <c r="AD75" s="162"/>
    </row>
    <row r="76" spans="1:30">
      <c r="A76" s="93"/>
      <c r="B76" s="169"/>
      <c r="C76" s="28"/>
      <c r="D76" s="55" t="str">
        <f t="shared" si="4"/>
        <v/>
      </c>
      <c r="E76" s="176"/>
      <c r="F76" s="102" t="str">
        <f t="shared" si="5"/>
        <v/>
      </c>
      <c r="G76" s="4"/>
      <c r="H76" s="4"/>
      <c r="I76" s="162"/>
      <c r="J76" s="162"/>
      <c r="K76" s="162"/>
      <c r="L76" s="162"/>
      <c r="M76" s="162"/>
      <c r="N76" s="162"/>
      <c r="O76" s="162"/>
      <c r="P76" s="162"/>
      <c r="Q76" s="162"/>
      <c r="R76" s="162"/>
      <c r="S76" s="162"/>
      <c r="T76" s="162"/>
      <c r="U76" s="162"/>
      <c r="V76" s="162"/>
      <c r="W76" s="162"/>
      <c r="X76" s="162"/>
      <c r="Y76" s="162"/>
      <c r="Z76" s="162"/>
      <c r="AA76" s="162"/>
      <c r="AB76" s="162"/>
      <c r="AC76" s="162"/>
      <c r="AD76" s="162"/>
    </row>
    <row r="77" spans="1:30">
      <c r="A77" s="93"/>
      <c r="B77" s="28"/>
      <c r="C77" s="169"/>
      <c r="D77" s="55" t="str">
        <f t="shared" si="4"/>
        <v/>
      </c>
      <c r="E77" s="176"/>
      <c r="F77" s="102" t="str">
        <f t="shared" si="5"/>
        <v/>
      </c>
      <c r="G77" s="4"/>
      <c r="H77" s="4"/>
      <c r="I77" s="162"/>
      <c r="J77" s="162"/>
      <c r="K77" s="162"/>
      <c r="L77" s="162"/>
      <c r="M77" s="162"/>
      <c r="N77" s="162"/>
      <c r="O77" s="162"/>
      <c r="P77" s="162"/>
      <c r="Q77" s="162"/>
      <c r="R77" s="162"/>
      <c r="S77" s="162"/>
      <c r="T77" s="162"/>
      <c r="U77" s="162"/>
      <c r="V77" s="162"/>
      <c r="W77" s="162"/>
      <c r="X77" s="162"/>
      <c r="Y77" s="162"/>
      <c r="Z77" s="162"/>
      <c r="AA77" s="162"/>
      <c r="AB77" s="162"/>
      <c r="AC77" s="162"/>
      <c r="AD77" s="162"/>
    </row>
    <row r="78" spans="1:30">
      <c r="A78" s="93"/>
      <c r="B78" s="28"/>
      <c r="C78" s="28"/>
      <c r="D78" s="55" t="str">
        <f t="shared" si="4"/>
        <v/>
      </c>
      <c r="E78" s="176"/>
      <c r="F78" s="102" t="str">
        <f t="shared" si="5"/>
        <v/>
      </c>
      <c r="G78" s="4"/>
      <c r="H78" s="4"/>
      <c r="I78" s="162"/>
      <c r="J78" s="162"/>
      <c r="K78" s="162"/>
      <c r="L78" s="162"/>
      <c r="M78" s="162"/>
      <c r="N78" s="162"/>
      <c r="O78" s="162"/>
      <c r="P78" s="162"/>
      <c r="Q78" s="162"/>
      <c r="R78" s="162"/>
      <c r="S78" s="162"/>
      <c r="T78" s="162"/>
      <c r="U78" s="162"/>
      <c r="V78" s="162"/>
      <c r="W78" s="162"/>
      <c r="X78" s="162"/>
      <c r="Y78" s="162"/>
      <c r="Z78" s="162"/>
      <c r="AA78" s="162"/>
      <c r="AB78" s="162"/>
      <c r="AC78" s="162"/>
      <c r="AD78" s="162"/>
    </row>
    <row r="79" spans="1:30">
      <c r="A79" s="93"/>
      <c r="B79" s="28"/>
      <c r="C79" s="28"/>
      <c r="D79" s="55" t="str">
        <f t="shared" si="4"/>
        <v/>
      </c>
      <c r="E79" s="176"/>
      <c r="F79" s="102" t="str">
        <f t="shared" si="5"/>
        <v/>
      </c>
      <c r="G79" s="4"/>
      <c r="H79" s="4"/>
      <c r="I79" s="162"/>
      <c r="J79" s="162"/>
      <c r="K79" s="162"/>
      <c r="L79" s="162"/>
      <c r="M79" s="162"/>
      <c r="N79" s="162"/>
      <c r="O79" s="162"/>
      <c r="P79" s="162"/>
      <c r="Q79" s="162"/>
      <c r="R79" s="162"/>
      <c r="S79" s="162"/>
      <c r="T79" s="162"/>
      <c r="U79" s="162"/>
      <c r="V79" s="162"/>
      <c r="W79" s="162"/>
      <c r="X79" s="162"/>
      <c r="Y79" s="162"/>
      <c r="Z79" s="162"/>
      <c r="AA79" s="162"/>
      <c r="AB79" s="162"/>
      <c r="AC79" s="162"/>
      <c r="AD79" s="162"/>
    </row>
    <row r="80" spans="1:30">
      <c r="A80" s="93"/>
      <c r="B80" s="28"/>
      <c r="C80" s="28"/>
      <c r="D80" s="55" t="str">
        <f t="shared" si="4"/>
        <v/>
      </c>
      <c r="E80" s="176"/>
      <c r="F80" s="102" t="str">
        <f t="shared" si="5"/>
        <v/>
      </c>
      <c r="G80" s="4"/>
      <c r="H80" s="4"/>
      <c r="I80" s="162"/>
      <c r="J80" s="162"/>
      <c r="K80" s="162"/>
      <c r="L80" s="162"/>
      <c r="M80" s="162"/>
      <c r="N80" s="162"/>
      <c r="O80" s="162"/>
      <c r="P80" s="162"/>
      <c r="Q80" s="162"/>
      <c r="R80" s="162"/>
      <c r="S80" s="162"/>
      <c r="T80" s="162"/>
      <c r="U80" s="162"/>
      <c r="V80" s="162"/>
      <c r="W80" s="162"/>
      <c r="X80" s="162"/>
      <c r="Y80" s="162"/>
      <c r="Z80" s="162"/>
      <c r="AA80" s="162"/>
      <c r="AB80" s="162"/>
      <c r="AC80" s="162"/>
      <c r="AD80" s="162"/>
    </row>
    <row r="81" spans="1:30">
      <c r="A81" s="93"/>
      <c r="B81" s="28"/>
      <c r="C81" s="28"/>
      <c r="D81" s="55" t="str">
        <f t="shared" si="4"/>
        <v/>
      </c>
      <c r="E81" s="176"/>
      <c r="F81" s="102" t="str">
        <f t="shared" si="5"/>
        <v/>
      </c>
      <c r="G81" s="4"/>
      <c r="H81" s="4"/>
      <c r="I81" s="162"/>
      <c r="J81" s="162"/>
      <c r="K81" s="162"/>
      <c r="L81" s="162"/>
      <c r="M81" s="162"/>
      <c r="N81" s="162"/>
      <c r="O81" s="162"/>
      <c r="P81" s="162"/>
      <c r="Q81" s="162"/>
      <c r="R81" s="162"/>
      <c r="S81" s="162"/>
      <c r="T81" s="162"/>
      <c r="U81" s="162"/>
      <c r="V81" s="162"/>
      <c r="W81" s="162"/>
      <c r="X81" s="162"/>
      <c r="Y81" s="162"/>
      <c r="Z81" s="162"/>
      <c r="AA81" s="162"/>
      <c r="AB81" s="162"/>
      <c r="AC81" s="162"/>
      <c r="AD81" s="162"/>
    </row>
    <row r="82" spans="1:30">
      <c r="A82" s="93"/>
      <c r="B82" s="28"/>
      <c r="C82" s="28"/>
      <c r="D82" s="55" t="str">
        <f t="shared" si="4"/>
        <v/>
      </c>
      <c r="E82" s="176"/>
      <c r="F82" s="102" t="str">
        <f t="shared" si="5"/>
        <v/>
      </c>
      <c r="G82" s="4"/>
      <c r="H82" s="4"/>
      <c r="I82" s="162"/>
      <c r="J82" s="162"/>
      <c r="K82" s="162"/>
      <c r="L82" s="162"/>
      <c r="M82" s="162"/>
      <c r="N82" s="162"/>
      <c r="O82" s="162"/>
      <c r="P82" s="162"/>
      <c r="Q82" s="162"/>
      <c r="R82" s="162"/>
      <c r="S82" s="162"/>
      <c r="T82" s="162"/>
      <c r="U82" s="162"/>
      <c r="V82" s="162"/>
      <c r="W82" s="162"/>
      <c r="X82" s="162"/>
      <c r="Y82" s="162"/>
      <c r="Z82" s="162"/>
      <c r="AA82" s="162"/>
      <c r="AB82" s="162"/>
      <c r="AC82" s="162"/>
      <c r="AD82" s="162"/>
    </row>
    <row r="83" spans="1:30">
      <c r="A83" s="93"/>
      <c r="B83" s="28"/>
      <c r="C83" s="28"/>
      <c r="D83" s="55" t="str">
        <f t="shared" si="4"/>
        <v/>
      </c>
      <c r="E83" s="176"/>
      <c r="F83" s="102" t="str">
        <f t="shared" si="5"/>
        <v/>
      </c>
      <c r="G83" s="4"/>
      <c r="H83" s="4"/>
      <c r="I83" s="162"/>
      <c r="J83" s="162"/>
      <c r="K83" s="162"/>
      <c r="L83" s="162"/>
      <c r="M83" s="162"/>
      <c r="N83" s="162"/>
      <c r="O83" s="162"/>
      <c r="P83" s="162"/>
      <c r="Q83" s="162"/>
      <c r="R83" s="162"/>
      <c r="S83" s="162"/>
      <c r="T83" s="162"/>
      <c r="U83" s="162"/>
      <c r="V83" s="162"/>
      <c r="W83" s="162"/>
      <c r="X83" s="162"/>
      <c r="Y83" s="162"/>
      <c r="Z83" s="162"/>
      <c r="AA83" s="162"/>
      <c r="AB83" s="162"/>
      <c r="AC83" s="162"/>
      <c r="AD83" s="162"/>
    </row>
    <row r="84" spans="1:30">
      <c r="A84" s="93"/>
      <c r="B84" s="28"/>
      <c r="C84" s="28"/>
      <c r="D84" s="55" t="str">
        <f t="shared" si="4"/>
        <v/>
      </c>
      <c r="E84" s="176"/>
      <c r="F84" s="102" t="str">
        <f t="shared" si="5"/>
        <v/>
      </c>
      <c r="G84" s="4"/>
      <c r="H84" s="4"/>
      <c r="I84" s="162"/>
      <c r="J84" s="162"/>
      <c r="K84" s="162"/>
      <c r="L84" s="162"/>
      <c r="M84" s="162"/>
      <c r="N84" s="162"/>
      <c r="O84" s="162"/>
      <c r="P84" s="162"/>
      <c r="Q84" s="162"/>
      <c r="R84" s="162"/>
      <c r="S84" s="162"/>
      <c r="T84" s="162"/>
      <c r="U84" s="162"/>
      <c r="V84" s="162"/>
      <c r="W84" s="162"/>
      <c r="X84" s="162"/>
      <c r="Y84" s="162"/>
      <c r="Z84" s="162"/>
      <c r="AA84" s="162"/>
      <c r="AB84" s="162"/>
      <c r="AC84" s="162"/>
      <c r="AD84" s="162"/>
    </row>
    <row r="85" spans="1:30">
      <c r="A85" s="93"/>
      <c r="B85" s="28"/>
      <c r="C85" s="28"/>
      <c r="D85" s="55" t="str">
        <f t="shared" si="4"/>
        <v/>
      </c>
      <c r="E85" s="87"/>
      <c r="F85" s="102" t="str">
        <f t="shared" si="5"/>
        <v/>
      </c>
      <c r="G85" s="4"/>
      <c r="H85" s="4"/>
      <c r="I85" s="162"/>
      <c r="J85" s="162"/>
      <c r="K85" s="162"/>
      <c r="L85" s="162"/>
      <c r="M85" s="162"/>
      <c r="N85" s="162"/>
      <c r="O85" s="162"/>
      <c r="P85" s="162"/>
      <c r="Q85" s="162"/>
      <c r="R85" s="162"/>
      <c r="S85" s="162"/>
      <c r="T85" s="162"/>
      <c r="U85" s="162"/>
      <c r="V85" s="162"/>
      <c r="W85" s="162"/>
      <c r="X85" s="162"/>
      <c r="Y85" s="162"/>
      <c r="Z85" s="162"/>
      <c r="AA85" s="162"/>
      <c r="AB85" s="162"/>
      <c r="AC85" s="162"/>
      <c r="AD85" s="162"/>
    </row>
    <row r="86" spans="1:30">
      <c r="A86" s="93"/>
      <c r="B86" s="28"/>
      <c r="C86" s="28"/>
      <c r="D86" s="55" t="str">
        <f t="shared" si="4"/>
        <v/>
      </c>
      <c r="E86" s="87"/>
      <c r="F86" s="102" t="str">
        <f t="shared" si="5"/>
        <v/>
      </c>
      <c r="G86" s="4"/>
      <c r="H86" s="4"/>
      <c r="I86" s="162"/>
      <c r="J86" s="162"/>
      <c r="K86" s="162"/>
      <c r="L86" s="162"/>
      <c r="M86" s="162"/>
      <c r="N86" s="162"/>
      <c r="O86" s="162"/>
      <c r="P86" s="162"/>
      <c r="Q86" s="162"/>
      <c r="R86" s="162"/>
      <c r="S86" s="162"/>
      <c r="T86" s="162"/>
      <c r="U86" s="162"/>
      <c r="V86" s="162"/>
      <c r="W86" s="162"/>
      <c r="X86" s="162"/>
      <c r="Y86" s="162"/>
      <c r="Z86" s="162"/>
      <c r="AA86" s="162"/>
      <c r="AB86" s="162"/>
      <c r="AC86" s="162"/>
      <c r="AD86" s="162"/>
    </row>
    <row r="87" spans="1:30">
      <c r="A87" s="93"/>
      <c r="B87" s="28"/>
      <c r="C87" s="28"/>
      <c r="D87" s="55" t="str">
        <f t="shared" si="4"/>
        <v/>
      </c>
      <c r="E87" s="87"/>
      <c r="F87" s="102" t="str">
        <f t="shared" si="5"/>
        <v/>
      </c>
      <c r="G87" s="4"/>
      <c r="H87" s="4"/>
      <c r="I87" s="162"/>
      <c r="J87" s="162"/>
      <c r="K87" s="162"/>
      <c r="L87" s="162"/>
      <c r="M87" s="162"/>
      <c r="N87" s="162"/>
      <c r="O87" s="162"/>
      <c r="P87" s="162"/>
      <c r="Q87" s="162"/>
      <c r="R87" s="162"/>
      <c r="S87" s="162"/>
      <c r="T87" s="162"/>
      <c r="U87" s="162"/>
      <c r="V87" s="162"/>
      <c r="W87" s="162"/>
      <c r="X87" s="162"/>
      <c r="Y87" s="162"/>
      <c r="Z87" s="162"/>
      <c r="AA87" s="162"/>
      <c r="AB87" s="162"/>
      <c r="AC87" s="162"/>
      <c r="AD87" s="162"/>
    </row>
    <row r="88" spans="1:30">
      <c r="A88" s="93"/>
      <c r="B88" s="28"/>
      <c r="C88" s="28"/>
      <c r="D88" s="55" t="str">
        <f t="shared" si="4"/>
        <v/>
      </c>
      <c r="E88" s="87"/>
      <c r="F88" s="102" t="str">
        <f t="shared" si="5"/>
        <v/>
      </c>
      <c r="G88" s="4"/>
      <c r="H88" s="4"/>
      <c r="I88" s="162"/>
      <c r="J88" s="162"/>
      <c r="K88" s="162"/>
      <c r="L88" s="162"/>
      <c r="M88" s="162"/>
      <c r="N88" s="162"/>
      <c r="O88" s="162"/>
      <c r="P88" s="162"/>
      <c r="Q88" s="162"/>
      <c r="R88" s="162"/>
      <c r="S88" s="162"/>
      <c r="T88" s="162"/>
      <c r="U88" s="162"/>
      <c r="V88" s="162"/>
      <c r="W88" s="162"/>
      <c r="X88" s="162"/>
      <c r="Y88" s="162"/>
      <c r="Z88" s="162"/>
      <c r="AA88" s="162"/>
      <c r="AB88" s="162"/>
      <c r="AC88" s="162"/>
      <c r="AD88" s="162"/>
    </row>
    <row r="89" spans="1:30">
      <c r="A89" s="93"/>
      <c r="B89" s="28"/>
      <c r="C89" s="28"/>
      <c r="D89" s="55" t="str">
        <f t="shared" si="4"/>
        <v/>
      </c>
      <c r="E89" s="87"/>
      <c r="F89" s="102" t="str">
        <f t="shared" si="5"/>
        <v/>
      </c>
      <c r="G89" s="4"/>
      <c r="H89" s="4"/>
      <c r="I89" s="162"/>
      <c r="J89" s="162"/>
      <c r="K89" s="162"/>
      <c r="L89" s="162"/>
      <c r="M89" s="162"/>
      <c r="N89" s="162"/>
      <c r="O89" s="162"/>
      <c r="P89" s="162"/>
      <c r="Q89" s="162"/>
      <c r="R89" s="162"/>
      <c r="S89" s="162"/>
      <c r="T89" s="162"/>
      <c r="U89" s="162"/>
      <c r="V89" s="162"/>
      <c r="W89" s="162"/>
      <c r="X89" s="162"/>
      <c r="Y89" s="162"/>
      <c r="Z89" s="162"/>
      <c r="AA89" s="162"/>
      <c r="AB89" s="162"/>
      <c r="AC89" s="162"/>
      <c r="AD89" s="162"/>
    </row>
    <row r="90" spans="1:30">
      <c r="A90" s="93"/>
      <c r="B90" s="28"/>
      <c r="C90" s="28"/>
      <c r="D90" s="55" t="str">
        <f t="shared" si="4"/>
        <v/>
      </c>
      <c r="E90" s="87"/>
      <c r="F90" s="102" t="str">
        <f t="shared" si="5"/>
        <v/>
      </c>
      <c r="G90" s="4"/>
      <c r="H90" s="4"/>
      <c r="I90" s="162"/>
      <c r="J90" s="162"/>
      <c r="K90" s="162"/>
      <c r="L90" s="162"/>
      <c r="M90" s="162"/>
      <c r="N90" s="162"/>
      <c r="O90" s="162"/>
      <c r="P90" s="162"/>
      <c r="Q90" s="162"/>
      <c r="R90" s="162"/>
      <c r="S90" s="162"/>
      <c r="T90" s="162"/>
      <c r="U90" s="162"/>
      <c r="V90" s="162"/>
      <c r="W90" s="162"/>
      <c r="X90" s="162"/>
      <c r="Y90" s="162"/>
      <c r="Z90" s="162"/>
      <c r="AA90" s="162"/>
      <c r="AB90" s="162"/>
      <c r="AC90" s="162"/>
      <c r="AD90" s="162"/>
    </row>
    <row r="91" spans="1:30">
      <c r="A91" s="93"/>
      <c r="B91" s="28"/>
      <c r="C91" s="28"/>
      <c r="D91" s="55" t="str">
        <f t="shared" si="4"/>
        <v/>
      </c>
      <c r="E91" s="87"/>
      <c r="F91" s="102" t="str">
        <f t="shared" si="5"/>
        <v/>
      </c>
      <c r="G91" s="4"/>
      <c r="H91" s="4"/>
      <c r="I91" s="162"/>
      <c r="J91" s="162"/>
      <c r="K91" s="162"/>
      <c r="L91" s="162"/>
      <c r="M91" s="162"/>
      <c r="N91" s="162"/>
      <c r="O91" s="162"/>
      <c r="P91" s="162"/>
      <c r="Q91" s="162"/>
      <c r="R91" s="162"/>
      <c r="S91" s="162"/>
      <c r="T91" s="162"/>
      <c r="U91" s="162"/>
      <c r="V91" s="162"/>
      <c r="W91" s="162"/>
      <c r="X91" s="162"/>
      <c r="Y91" s="162"/>
      <c r="Z91" s="162"/>
      <c r="AA91" s="162"/>
      <c r="AB91" s="162"/>
      <c r="AC91" s="162"/>
      <c r="AD91" s="162"/>
    </row>
    <row r="92" spans="1:30">
      <c r="A92" s="93"/>
      <c r="B92" s="28"/>
      <c r="C92" s="28"/>
      <c r="D92" s="55" t="str">
        <f t="shared" si="4"/>
        <v/>
      </c>
      <c r="E92" s="87"/>
      <c r="F92" s="102" t="str">
        <f t="shared" si="5"/>
        <v/>
      </c>
      <c r="G92" s="4"/>
      <c r="H92" s="4"/>
      <c r="I92" s="162"/>
      <c r="J92" s="162"/>
      <c r="K92" s="162"/>
      <c r="L92" s="162"/>
      <c r="M92" s="162"/>
      <c r="N92" s="162"/>
      <c r="O92" s="162"/>
      <c r="P92" s="162"/>
      <c r="Q92" s="162"/>
      <c r="R92" s="162"/>
      <c r="S92" s="162"/>
      <c r="T92" s="162"/>
      <c r="U92" s="162"/>
      <c r="V92" s="162"/>
      <c r="W92" s="162"/>
      <c r="X92" s="162"/>
      <c r="Y92" s="162"/>
      <c r="Z92" s="162"/>
      <c r="AA92" s="162"/>
      <c r="AB92" s="162"/>
      <c r="AC92" s="162"/>
      <c r="AD92" s="162"/>
    </row>
    <row r="93" spans="1:30">
      <c r="A93" s="93"/>
      <c r="B93" s="28"/>
      <c r="C93" s="28"/>
      <c r="D93" s="55" t="str">
        <f t="shared" si="4"/>
        <v/>
      </c>
      <c r="E93" s="87"/>
      <c r="F93" s="102" t="str">
        <f t="shared" si="5"/>
        <v/>
      </c>
      <c r="G93" s="4"/>
      <c r="H93" s="4"/>
      <c r="I93" s="162"/>
      <c r="J93" s="162"/>
      <c r="K93" s="162"/>
      <c r="L93" s="162"/>
      <c r="M93" s="162"/>
      <c r="N93" s="162"/>
      <c r="O93" s="162"/>
      <c r="P93" s="162"/>
      <c r="Q93" s="162"/>
      <c r="R93" s="162"/>
      <c r="S93" s="162"/>
      <c r="T93" s="162"/>
      <c r="U93" s="162"/>
      <c r="V93" s="162"/>
      <c r="W93" s="162"/>
      <c r="X93" s="162"/>
      <c r="Y93" s="162"/>
      <c r="Z93" s="162"/>
      <c r="AA93" s="162"/>
      <c r="AB93" s="162"/>
      <c r="AC93" s="162"/>
      <c r="AD93" s="162"/>
    </row>
    <row r="94" spans="1:30">
      <c r="A94" s="93"/>
      <c r="B94" s="28"/>
      <c r="C94" s="28"/>
      <c r="D94" s="55" t="str">
        <f t="shared" si="4"/>
        <v/>
      </c>
      <c r="E94" s="87"/>
      <c r="F94" s="102" t="str">
        <f t="shared" si="5"/>
        <v/>
      </c>
      <c r="G94" s="4"/>
      <c r="H94" s="4"/>
      <c r="I94" s="162"/>
      <c r="J94" s="162"/>
      <c r="K94" s="162"/>
      <c r="L94" s="162"/>
      <c r="M94" s="162"/>
      <c r="N94" s="162"/>
      <c r="O94" s="162"/>
      <c r="P94" s="162"/>
      <c r="Q94" s="162"/>
      <c r="R94" s="162"/>
      <c r="S94" s="162"/>
      <c r="T94" s="162"/>
      <c r="U94" s="162"/>
      <c r="V94" s="162"/>
      <c r="W94" s="162"/>
      <c r="X94" s="162"/>
      <c r="Y94" s="162"/>
      <c r="Z94" s="162"/>
      <c r="AA94" s="162"/>
      <c r="AB94" s="162"/>
      <c r="AC94" s="162"/>
      <c r="AD94" s="162"/>
    </row>
    <row r="95" spans="1:30">
      <c r="A95" s="93"/>
      <c r="B95" s="28"/>
      <c r="C95" s="28"/>
      <c r="D95" s="55" t="str">
        <f t="shared" si="4"/>
        <v/>
      </c>
      <c r="E95" s="87"/>
      <c r="F95" s="102" t="str">
        <f t="shared" si="5"/>
        <v/>
      </c>
      <c r="G95" s="4"/>
      <c r="H95" s="4"/>
      <c r="I95" s="162"/>
      <c r="J95" s="162"/>
      <c r="K95" s="162"/>
      <c r="L95" s="162"/>
      <c r="M95" s="162"/>
      <c r="N95" s="162"/>
      <c r="O95" s="162"/>
      <c r="P95" s="162"/>
      <c r="Q95" s="162"/>
      <c r="R95" s="162"/>
      <c r="S95" s="162"/>
      <c r="T95" s="162"/>
      <c r="U95" s="162"/>
      <c r="V95" s="162"/>
      <c r="W95" s="162"/>
      <c r="X95" s="162"/>
      <c r="Y95" s="162"/>
      <c r="Z95" s="162"/>
      <c r="AA95" s="162"/>
      <c r="AB95" s="162"/>
      <c r="AC95" s="162"/>
      <c r="AD95" s="162"/>
    </row>
    <row r="96" spans="1:30">
      <c r="A96" s="93"/>
      <c r="B96" s="28"/>
      <c r="C96" s="28"/>
      <c r="D96" s="55" t="str">
        <f t="shared" si="4"/>
        <v/>
      </c>
      <c r="E96" s="87"/>
      <c r="F96" s="102" t="str">
        <f t="shared" si="5"/>
        <v/>
      </c>
      <c r="G96" s="4"/>
      <c r="H96" s="4"/>
      <c r="I96" s="162"/>
      <c r="J96" s="162"/>
      <c r="K96" s="162"/>
      <c r="L96" s="162"/>
      <c r="M96" s="162"/>
      <c r="N96" s="162"/>
      <c r="O96" s="162"/>
      <c r="P96" s="162"/>
      <c r="Q96" s="162"/>
      <c r="R96" s="162"/>
      <c r="S96" s="162"/>
      <c r="T96" s="162"/>
      <c r="U96" s="162"/>
      <c r="V96" s="162"/>
      <c r="W96" s="162"/>
      <c r="X96" s="162"/>
      <c r="Y96" s="162"/>
      <c r="Z96" s="162"/>
      <c r="AA96" s="162"/>
      <c r="AB96" s="162"/>
      <c r="AC96" s="162"/>
      <c r="AD96" s="162"/>
    </row>
    <row r="97" spans="1:30">
      <c r="A97" s="93"/>
      <c r="B97" s="28"/>
      <c r="C97" s="28"/>
      <c r="D97" s="55" t="str">
        <f t="shared" si="4"/>
        <v/>
      </c>
      <c r="E97" s="87"/>
      <c r="F97" s="102" t="str">
        <f t="shared" si="5"/>
        <v/>
      </c>
      <c r="G97" s="4"/>
      <c r="H97" s="4"/>
      <c r="I97" s="162"/>
      <c r="J97" s="162"/>
      <c r="K97" s="162"/>
      <c r="L97" s="162"/>
      <c r="M97" s="162"/>
      <c r="N97" s="162"/>
      <c r="O97" s="162"/>
      <c r="P97" s="162"/>
      <c r="Q97" s="162"/>
      <c r="R97" s="162"/>
      <c r="S97" s="162"/>
      <c r="T97" s="162"/>
      <c r="U97" s="162"/>
      <c r="V97" s="162"/>
      <c r="W97" s="162"/>
      <c r="X97" s="162"/>
      <c r="Y97" s="162"/>
      <c r="Z97" s="162"/>
      <c r="AA97" s="162"/>
      <c r="AB97" s="162"/>
      <c r="AC97" s="162"/>
      <c r="AD97" s="162"/>
    </row>
    <row r="98" spans="1:30">
      <c r="A98" s="93"/>
      <c r="B98" s="28"/>
      <c r="C98" s="28"/>
      <c r="D98" s="55" t="str">
        <f t="shared" si="4"/>
        <v/>
      </c>
      <c r="E98" s="87"/>
      <c r="F98" s="102" t="str">
        <f t="shared" si="5"/>
        <v/>
      </c>
      <c r="G98" s="4"/>
      <c r="H98" s="4"/>
      <c r="I98" s="162"/>
      <c r="J98" s="162"/>
      <c r="K98" s="162"/>
      <c r="L98" s="162"/>
      <c r="M98" s="162"/>
      <c r="N98" s="162"/>
      <c r="O98" s="162"/>
      <c r="P98" s="162"/>
      <c r="Q98" s="162"/>
      <c r="R98" s="162"/>
      <c r="S98" s="162"/>
      <c r="T98" s="162"/>
      <c r="U98" s="162"/>
      <c r="V98" s="162"/>
      <c r="W98" s="162"/>
      <c r="X98" s="162"/>
      <c r="Y98" s="162"/>
      <c r="Z98" s="162"/>
      <c r="AA98" s="162"/>
      <c r="AB98" s="162"/>
      <c r="AC98" s="162"/>
      <c r="AD98" s="162"/>
    </row>
    <row r="99" spans="1:30">
      <c r="A99" s="93"/>
      <c r="B99" s="28"/>
      <c r="C99" s="28"/>
      <c r="D99" s="55" t="str">
        <f t="shared" si="4"/>
        <v/>
      </c>
      <c r="E99" s="87"/>
      <c r="F99" s="102" t="str">
        <f t="shared" si="5"/>
        <v/>
      </c>
      <c r="G99" s="4"/>
      <c r="H99" s="4"/>
      <c r="I99" s="162"/>
      <c r="J99" s="162"/>
      <c r="K99" s="162"/>
      <c r="L99" s="162"/>
      <c r="M99" s="162"/>
      <c r="N99" s="162"/>
      <c r="O99" s="162"/>
      <c r="P99" s="162"/>
      <c r="Q99" s="162"/>
      <c r="R99" s="162"/>
      <c r="S99" s="162"/>
      <c r="T99" s="162"/>
      <c r="U99" s="162"/>
      <c r="V99" s="162"/>
      <c r="W99" s="162"/>
      <c r="X99" s="162"/>
      <c r="Y99" s="162"/>
      <c r="Z99" s="162"/>
      <c r="AA99" s="162"/>
      <c r="AB99" s="162"/>
      <c r="AC99" s="162"/>
      <c r="AD99" s="162"/>
    </row>
    <row r="100" spans="1:30">
      <c r="A100" s="93"/>
      <c r="B100" s="28"/>
      <c r="C100" s="28"/>
      <c r="D100" s="55" t="str">
        <f t="shared" si="4"/>
        <v/>
      </c>
      <c r="E100" s="87"/>
      <c r="F100" s="102" t="str">
        <f t="shared" si="5"/>
        <v/>
      </c>
      <c r="G100" s="4"/>
      <c r="H100" s="4"/>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row>
    <row r="101" spans="1:30">
      <c r="A101" s="93"/>
      <c r="B101" s="28"/>
      <c r="C101" s="28"/>
      <c r="D101" s="55" t="str">
        <f t="shared" si="4"/>
        <v/>
      </c>
      <c r="E101" s="87"/>
      <c r="F101" s="102" t="str">
        <f t="shared" si="5"/>
        <v/>
      </c>
      <c r="G101" s="4"/>
      <c r="H101" s="4"/>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row>
    <row r="102" spans="1:30">
      <c r="A102" s="93"/>
      <c r="B102" s="28"/>
      <c r="C102" s="28"/>
      <c r="D102" s="55" t="str">
        <f t="shared" si="4"/>
        <v/>
      </c>
      <c r="E102" s="87"/>
      <c r="F102" s="102" t="str">
        <f t="shared" si="5"/>
        <v/>
      </c>
      <c r="G102" s="4"/>
      <c r="H102" s="4"/>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row>
    <row r="103" spans="1:30">
      <c r="A103" s="93"/>
      <c r="B103" s="28"/>
      <c r="C103" s="28"/>
      <c r="D103" s="55" t="str">
        <f t="shared" si="4"/>
        <v/>
      </c>
      <c r="E103" s="87"/>
      <c r="F103" s="102" t="str">
        <f t="shared" si="5"/>
        <v/>
      </c>
      <c r="G103" s="4"/>
      <c r="H103" s="4"/>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row>
    <row r="104" spans="1:30" ht="13.5" thickBot="1">
      <c r="A104" s="94"/>
      <c r="B104" s="95"/>
      <c r="C104" s="95"/>
      <c r="D104" s="56" t="str">
        <f t="shared" si="4"/>
        <v/>
      </c>
      <c r="E104" s="88"/>
      <c r="F104" s="103" t="str">
        <f t="shared" si="5"/>
        <v/>
      </c>
      <c r="G104" s="4"/>
      <c r="H104" s="4"/>
      <c r="I104" s="162"/>
      <c r="J104" s="227"/>
      <c r="K104" s="162"/>
      <c r="L104" s="162"/>
      <c r="M104" s="162"/>
      <c r="N104" s="162"/>
      <c r="O104" s="162"/>
      <c r="P104" s="162"/>
      <c r="Q104" s="162"/>
      <c r="R104" s="162"/>
      <c r="S104" s="162"/>
      <c r="T104" s="162"/>
      <c r="U104" s="162"/>
      <c r="V104" s="162"/>
      <c r="W104" s="162"/>
      <c r="X104" s="162"/>
      <c r="Y104" s="162"/>
      <c r="Z104" s="162"/>
      <c r="AA104" s="162"/>
      <c r="AB104" s="162"/>
      <c r="AC104" s="162"/>
      <c r="AD104" s="162"/>
    </row>
    <row r="105" spans="1:30">
      <c r="A105" s="4"/>
      <c r="B105" s="4"/>
      <c r="C105" s="4"/>
      <c r="D105" s="4"/>
      <c r="E105" s="4"/>
      <c r="F105" s="4"/>
      <c r="G105" s="4"/>
      <c r="H105" s="4"/>
      <c r="I105" s="162"/>
      <c r="J105" s="227"/>
      <c r="K105" s="162"/>
      <c r="L105" s="162"/>
      <c r="M105" s="162"/>
      <c r="N105" s="162"/>
      <c r="O105" s="162"/>
      <c r="P105" s="162"/>
      <c r="Q105" s="162"/>
      <c r="R105" s="162"/>
      <c r="S105" s="162"/>
      <c r="T105" s="162"/>
      <c r="U105" s="162"/>
      <c r="V105" s="162"/>
      <c r="W105" s="162"/>
      <c r="X105" s="162"/>
      <c r="Y105" s="162"/>
      <c r="Z105" s="162"/>
      <c r="AA105" s="162"/>
      <c r="AB105" s="162"/>
      <c r="AC105" s="162"/>
      <c r="AD105" s="162"/>
    </row>
    <row r="106" spans="1:30">
      <c r="A106" s="251" t="s">
        <v>316</v>
      </c>
      <c r="B106" s="221"/>
      <c r="C106" s="221"/>
      <c r="D106" s="221"/>
      <c r="E106" s="221"/>
      <c r="F106" s="221"/>
      <c r="G106" s="162"/>
      <c r="H106" s="162"/>
      <c r="I106" s="162"/>
      <c r="J106" s="227"/>
      <c r="K106" s="162"/>
      <c r="L106" s="162"/>
      <c r="M106" s="162"/>
      <c r="N106" s="162"/>
      <c r="O106" s="162"/>
      <c r="P106" s="162"/>
      <c r="Q106" s="162"/>
      <c r="R106" s="162"/>
      <c r="S106" s="162"/>
      <c r="T106" s="162"/>
      <c r="U106" s="162"/>
      <c r="V106" s="162"/>
      <c r="W106" s="162"/>
      <c r="X106" s="162"/>
      <c r="Y106" s="162"/>
      <c r="Z106" s="162"/>
      <c r="AA106" s="162"/>
      <c r="AB106" s="162"/>
      <c r="AC106" s="162"/>
      <c r="AD106" s="162"/>
    </row>
    <row r="107" spans="1:30" ht="13.5" thickBot="1">
      <c r="A107" s="7"/>
      <c r="B107" s="4"/>
      <c r="C107" s="4"/>
      <c r="D107" s="4"/>
      <c r="E107" s="4"/>
      <c r="F107" s="4"/>
      <c r="G107" s="4"/>
      <c r="H107" s="4"/>
      <c r="I107" s="162"/>
      <c r="J107" s="227"/>
      <c r="K107" s="227"/>
      <c r="L107" s="162"/>
      <c r="M107" s="162"/>
      <c r="N107" s="162"/>
      <c r="O107" s="162"/>
      <c r="P107" s="162"/>
      <c r="Q107" s="162"/>
      <c r="R107" s="162"/>
      <c r="S107" s="162"/>
      <c r="T107" s="162"/>
      <c r="U107" s="162"/>
      <c r="V107" s="162"/>
      <c r="W107" s="162"/>
      <c r="X107" s="162"/>
      <c r="Y107" s="162"/>
      <c r="Z107" s="162"/>
      <c r="AA107" s="162"/>
      <c r="AB107" s="162"/>
      <c r="AC107" s="162"/>
      <c r="AD107" s="162"/>
    </row>
    <row r="108" spans="1:30">
      <c r="A108" s="21"/>
      <c r="B108" s="22"/>
      <c r="C108" s="22"/>
      <c r="D108" s="26"/>
      <c r="E108" s="26"/>
      <c r="F108" s="31"/>
      <c r="G108" s="4"/>
      <c r="H108" s="4"/>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row>
    <row r="109" spans="1:30" ht="15" thickBot="1">
      <c r="A109" s="24" t="s">
        <v>491</v>
      </c>
      <c r="B109" s="25"/>
      <c r="C109" s="25"/>
      <c r="D109" s="27"/>
      <c r="E109" s="27"/>
      <c r="F109" s="158">
        <f>(((SUM($F$28:$F$35)+SUM($H$48:$H$55))*kg_per_lb)+SUM($F$69:$F$104))/1000</f>
        <v>0</v>
      </c>
      <c r="G109" s="4"/>
      <c r="H109" s="4"/>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row>
    <row r="110" spans="1:30">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row>
    <row r="111" spans="1:30">
      <c r="A111" s="312" t="s">
        <v>129</v>
      </c>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row>
    <row r="112" spans="1:30">
      <c r="A112" s="834" t="s">
        <v>1266</v>
      </c>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row>
    <row r="113" spans="1:30">
      <c r="A113" s="312" t="s">
        <v>676</v>
      </c>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row>
    <row r="114" spans="1:30">
      <c r="A114" s="1235" t="s">
        <v>246</v>
      </c>
      <c r="B114" s="1235"/>
      <c r="C114" s="1235"/>
      <c r="D114" s="1235"/>
      <c r="E114" s="1235"/>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row>
    <row r="116" spans="1:30">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row>
    <row r="117" spans="1:30">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row>
    <row r="118" spans="1:30">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row>
    <row r="119" spans="1:30">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row>
    <row r="120" spans="1:30">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row>
    <row r="121" spans="1:30">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row>
    <row r="122" spans="1:30">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row>
    <row r="123" spans="1:30">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row>
    <row r="124" spans="1:30">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row>
    <row r="125" spans="1:30">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row>
    <row r="126" spans="1:30">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row>
    <row r="127" spans="1:30">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row>
    <row r="128" spans="1:30">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row>
    <row r="129" spans="1:30">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row>
    <row r="130" spans="1:30">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row>
    <row r="131" spans="1:30">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row>
    <row r="132" spans="1:30">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row>
    <row r="133" spans="1:30">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row>
    <row r="134" spans="1:30">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row>
    <row r="135" spans="1:30">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row>
    <row r="136" spans="1:30">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row>
    <row r="137" spans="1:30">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row>
    <row r="138" spans="1:30">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row>
    <row r="139" spans="1:30">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row>
    <row r="140" spans="1:30">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row>
    <row r="141" spans="1:30">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row>
    <row r="142" spans="1:30">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row>
    <row r="143" spans="1:30">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row>
    <row r="144" spans="1:30">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row>
    <row r="145" spans="1:30">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row>
    <row r="146" spans="1:30">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row>
    <row r="147" spans="1:30">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row>
    <row r="148" spans="1:30">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row>
    <row r="149" spans="1:30">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row>
    <row r="150" spans="1:30">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row>
    <row r="151" spans="1:30">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row>
    <row r="152" spans="1:30">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row>
    <row r="153" spans="1:30">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row>
    <row r="154" spans="1:30">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row>
    <row r="155" spans="1:30">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row>
    <row r="156" spans="1:30">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row>
    <row r="157" spans="1:30">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row>
    <row r="158" spans="1:30">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row>
    <row r="159" spans="1:30">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row>
    <row r="160" spans="1:30">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row>
    <row r="161" spans="1:30">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row>
    <row r="162" spans="1:30">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row>
    <row r="163" spans="1:30">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row>
    <row r="164" spans="1:30">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row>
    <row r="165" spans="1:30">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row>
    <row r="166" spans="1:30">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row>
    <row r="167" spans="1:30">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row>
    <row r="168" spans="1:30">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row>
    <row r="169" spans="1:30">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row>
    <row r="170" spans="1:30">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row>
    <row r="171" spans="1:30">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row>
    <row r="172" spans="1:30">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row>
    <row r="173" spans="1:30">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row>
    <row r="174" spans="1:30">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row>
    <row r="175" spans="1:30">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row>
    <row r="176" spans="1:30">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row>
    <row r="177" spans="1:30">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row>
    <row r="178" spans="1:30">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row>
    <row r="179" spans="1:30">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row>
    <row r="180" spans="1:30">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row>
    <row r="181" spans="1:30">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row>
    <row r="182" spans="1:30">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row>
    <row r="183" spans="1:30">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row>
    <row r="184" spans="1:30">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row>
    <row r="185" spans="1:30">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row>
    <row r="186" spans="1:30">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row>
    <row r="187" spans="1:30">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row>
    <row r="188" spans="1:30">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row>
    <row r="189" spans="1:30">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row>
    <row r="190" spans="1:30">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row>
    <row r="191" spans="1:30">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row>
    <row r="192" spans="1:30">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row>
    <row r="193" spans="1:30">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row>
    <row r="194" spans="1:30">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row>
    <row r="195" spans="1:30">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row>
    <row r="196" spans="1:30">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row>
    <row r="197" spans="1:30">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row>
    <row r="198" spans="1:30">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row>
  </sheetData>
  <mergeCells count="4">
    <mergeCell ref="C45:D45"/>
    <mergeCell ref="F45:G45"/>
    <mergeCell ref="A6:H6"/>
    <mergeCell ref="A114:E114"/>
  </mergeCells>
  <phoneticPr fontId="11" type="noConversion"/>
  <dataValidations count="2">
    <dataValidation type="list" allowBlank="1" showInputMessage="1" showErrorMessage="1" sqref="B69:B104" xr:uid="{00000000-0002-0000-0600-000000000000}">
      <formula1>FireSupp_Equip</formula1>
    </dataValidation>
    <dataValidation type="list" allowBlank="1" showInputMessage="1" showErrorMessage="1" sqref="C69:C104" xr:uid="{00000000-0002-0000-0600-000001000000}">
      <formula1>FireSupp_Gas</formula1>
    </dataValidation>
  </dataValidations>
  <pageMargins left="0.25" right="0.25" top="0.25" bottom="0.5" header="0.5" footer="0.25"/>
  <pageSetup scale="88" orientation="portrait" r:id="rId1"/>
  <headerFooter alignWithMargins="0">
    <oddFooter>&amp;L&amp;"Arial,Italic"&amp;9EPA Climate Leaders Simplified GHG Emissions Calculator (Direct 4.0)&amp;R&amp;"Arial,Italic"&amp;9&amp;P of &amp;N</oddFooter>
  </headerFooter>
  <rowBreaks count="1" manualBreakCount="1">
    <brk id="55" max="16383" man="1"/>
  </rowBreaks>
  <colBreaks count="1" manualBreakCount="1">
    <brk id="9"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dimension ref="A1:AD198"/>
  <sheetViews>
    <sheetView topLeftCell="A4" zoomScale="114" zoomScaleNormal="80" workbookViewId="0">
      <selection activeCell="C16" sqref="C16"/>
    </sheetView>
  </sheetViews>
  <sheetFormatPr defaultColWidth="8.85546875" defaultRowHeight="12.75"/>
  <cols>
    <col min="1" max="1" width="10.85546875" customWidth="1"/>
    <col min="2" max="2" width="24.85546875" customWidth="1"/>
    <col min="3" max="3" width="10.85546875" customWidth="1"/>
    <col min="4" max="4" width="14.85546875" bestFit="1" customWidth="1"/>
    <col min="5" max="5" width="13.140625" customWidth="1"/>
    <col min="6" max="6" width="15.85546875" customWidth="1"/>
    <col min="7" max="7" width="10.85546875" customWidth="1"/>
    <col min="8" max="8" width="15.85546875" customWidth="1"/>
    <col min="9" max="9" width="22" customWidth="1"/>
    <col min="17" max="17" width="20" bestFit="1" customWidth="1"/>
    <col min="18" max="18" width="22" bestFit="1" customWidth="1"/>
    <col min="19" max="19" width="23.42578125" bestFit="1" customWidth="1"/>
    <col min="20" max="20" width="19.85546875" bestFit="1" customWidth="1"/>
    <col min="21" max="21" width="19.42578125" bestFit="1" customWidth="1"/>
    <col min="22" max="22" width="15.85546875" customWidth="1"/>
    <col min="23" max="23" width="24.85546875" bestFit="1" customWidth="1"/>
    <col min="24" max="24" width="12.42578125" bestFit="1" customWidth="1"/>
    <col min="25" max="25" width="23.42578125" bestFit="1" customWidth="1"/>
  </cols>
  <sheetData>
    <row r="1" spans="1:30"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row>
    <row r="2" spans="1:30"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row>
    <row r="3" spans="1:30" ht="15">
      <c r="A3" s="182" t="s">
        <v>801</v>
      </c>
      <c r="B3" s="162"/>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row>
    <row r="4" spans="1:30">
      <c r="A4" s="162"/>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row>
    <row r="5" spans="1:30">
      <c r="A5" s="161" t="s">
        <v>293</v>
      </c>
      <c r="B5" s="162"/>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row>
    <row r="6" spans="1:30" ht="38.25" customHeight="1">
      <c r="A6" s="1222" t="s">
        <v>1259</v>
      </c>
      <c r="B6" s="1189"/>
      <c r="C6" s="1189"/>
      <c r="D6" s="1189"/>
      <c r="E6" s="1189"/>
      <c r="F6" s="1189"/>
      <c r="G6" s="1189"/>
      <c r="H6" s="1189"/>
      <c r="I6" s="162"/>
      <c r="J6" s="162"/>
      <c r="K6" s="162"/>
      <c r="L6" s="162"/>
      <c r="M6" s="162"/>
      <c r="N6" s="162"/>
      <c r="O6" s="162"/>
      <c r="P6" s="162"/>
      <c r="Q6" s="162"/>
      <c r="R6" s="162"/>
      <c r="S6" s="162"/>
      <c r="T6" s="162"/>
      <c r="U6" s="162"/>
      <c r="V6" s="162"/>
      <c r="W6" s="162"/>
      <c r="X6" s="162"/>
      <c r="Y6" s="162"/>
      <c r="Z6" s="162"/>
      <c r="AA6" s="162"/>
      <c r="AB6" s="162"/>
      <c r="AC6" s="162"/>
      <c r="AD6" s="162"/>
    </row>
    <row r="7" spans="1:30" ht="30" customHeight="1">
      <c r="A7" s="1189" t="s">
        <v>685</v>
      </c>
      <c r="B7" s="1189"/>
      <c r="C7" s="1189"/>
      <c r="D7" s="1189"/>
      <c r="E7" s="1189"/>
      <c r="F7" s="1189"/>
      <c r="G7" s="1189"/>
      <c r="H7" s="1189"/>
      <c r="I7" s="162"/>
      <c r="J7" s="162"/>
      <c r="K7" s="162"/>
      <c r="L7" s="162"/>
      <c r="M7" s="162"/>
      <c r="N7" s="162"/>
      <c r="O7" s="162"/>
      <c r="P7" s="162"/>
      <c r="Q7" s="162"/>
      <c r="R7" s="162"/>
      <c r="S7" s="162"/>
      <c r="T7" s="162"/>
      <c r="U7" s="162"/>
      <c r="V7" s="162"/>
      <c r="W7" s="162"/>
      <c r="X7" s="162"/>
      <c r="Y7" s="162"/>
      <c r="Z7" s="162"/>
      <c r="AA7" s="162"/>
      <c r="AB7" s="162"/>
      <c r="AC7" s="162"/>
      <c r="AD7" s="162"/>
    </row>
    <row r="8" spans="1:30" ht="29.25" customHeight="1">
      <c r="A8" s="1189" t="s">
        <v>560</v>
      </c>
      <c r="B8" s="1189"/>
      <c r="C8" s="1189"/>
      <c r="D8" s="1189"/>
      <c r="E8" s="1189"/>
      <c r="F8" s="1189"/>
      <c r="G8" s="1189"/>
      <c r="H8" s="1189"/>
      <c r="I8" s="162"/>
      <c r="J8" s="162"/>
      <c r="K8" s="162"/>
      <c r="L8" s="162"/>
      <c r="M8" s="162"/>
      <c r="N8" s="162"/>
      <c r="O8" s="162"/>
      <c r="P8" s="162"/>
      <c r="Q8" s="162"/>
      <c r="R8" s="162"/>
      <c r="S8" s="162"/>
      <c r="T8" s="162"/>
      <c r="U8" s="162"/>
      <c r="V8" s="162"/>
      <c r="W8" s="162"/>
      <c r="X8" s="162"/>
      <c r="Y8" s="162"/>
      <c r="Z8" s="162"/>
      <c r="AA8" s="162"/>
      <c r="AB8" s="162"/>
      <c r="AC8" s="162"/>
      <c r="AD8" s="162"/>
    </row>
    <row r="9" spans="1:30" ht="15.75" customHeight="1">
      <c r="A9" s="201" t="s">
        <v>484</v>
      </c>
      <c r="B9" s="162"/>
      <c r="C9" s="162"/>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row>
    <row r="10" spans="1:30" s="3" customFormat="1" ht="15" customHeight="1">
      <c r="A10" s="68"/>
      <c r="B10" s="8"/>
      <c r="C10" s="8"/>
      <c r="D10" s="8"/>
      <c r="E10" s="8"/>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row>
    <row r="11" spans="1:30" ht="13.5" thickBot="1">
      <c r="A11" s="7" t="s">
        <v>481</v>
      </c>
      <c r="B11" s="4"/>
      <c r="C11" s="4"/>
      <c r="D11" s="4"/>
      <c r="E11" s="4"/>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row>
    <row r="12" spans="1:30" ht="14.25">
      <c r="A12" s="12" t="s">
        <v>28</v>
      </c>
      <c r="B12" s="13" t="s">
        <v>28</v>
      </c>
      <c r="C12" s="13" t="s">
        <v>70</v>
      </c>
      <c r="D12" s="14" t="s">
        <v>401</v>
      </c>
      <c r="E12" s="4"/>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row>
    <row r="13" spans="1:30">
      <c r="A13" s="30"/>
      <c r="B13" s="19" t="s">
        <v>128</v>
      </c>
      <c r="C13" s="19" t="s">
        <v>107</v>
      </c>
      <c r="D13" s="20" t="s">
        <v>173</v>
      </c>
      <c r="E13" s="4"/>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row>
    <row r="14" spans="1:30" ht="13.5" thickBot="1">
      <c r="A14" s="15"/>
      <c r="B14" s="16"/>
      <c r="C14" s="16" t="s">
        <v>181</v>
      </c>
      <c r="D14" s="17" t="s">
        <v>181</v>
      </c>
      <c r="E14" s="4"/>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row>
    <row r="15" spans="1:30">
      <c r="A15" s="390" t="s">
        <v>1367</v>
      </c>
      <c r="B15" s="403">
        <f t="shared" ref="B15:B25" si="0">IF(A15="","",VLOOKUP(A15,GWP,2,FALSE))</f>
        <v>25</v>
      </c>
      <c r="C15" s="404">
        <v>110000</v>
      </c>
      <c r="D15" s="402">
        <f>IF(B15="", "",B15*C15)</f>
        <v>2750000</v>
      </c>
      <c r="E15" s="4"/>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row>
    <row r="16" spans="1:30">
      <c r="A16" s="390"/>
      <c r="B16" s="403" t="str">
        <f t="shared" si="0"/>
        <v/>
      </c>
      <c r="C16" s="404"/>
      <c r="D16" s="402" t="str">
        <f t="shared" ref="D16:D24" si="1">IF(B16="", "",B16*C16)</f>
        <v/>
      </c>
      <c r="E16" s="4"/>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row>
    <row r="17" spans="1:30">
      <c r="A17" s="390"/>
      <c r="B17" s="403" t="str">
        <f t="shared" si="0"/>
        <v/>
      </c>
      <c r="C17" s="404"/>
      <c r="D17" s="402" t="str">
        <f t="shared" si="1"/>
        <v/>
      </c>
      <c r="E17" s="4"/>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row>
    <row r="18" spans="1:30">
      <c r="A18" s="390"/>
      <c r="B18" s="403" t="str">
        <f t="shared" si="0"/>
        <v/>
      </c>
      <c r="C18" s="404"/>
      <c r="D18" s="402" t="str">
        <f t="shared" si="1"/>
        <v/>
      </c>
      <c r="E18" s="4"/>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row>
    <row r="19" spans="1:30">
      <c r="A19" s="390"/>
      <c r="B19" s="403" t="str">
        <f t="shared" si="0"/>
        <v/>
      </c>
      <c r="C19" s="404"/>
      <c r="D19" s="402" t="str">
        <f t="shared" si="1"/>
        <v/>
      </c>
      <c r="E19" s="4"/>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row>
    <row r="20" spans="1:30">
      <c r="A20" s="390"/>
      <c r="B20" s="403" t="str">
        <f t="shared" si="0"/>
        <v/>
      </c>
      <c r="C20" s="404"/>
      <c r="D20" s="402" t="str">
        <f t="shared" si="1"/>
        <v/>
      </c>
      <c r="E20" s="4"/>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row>
    <row r="21" spans="1:30">
      <c r="A21" s="390"/>
      <c r="B21" s="403" t="str">
        <f t="shared" si="0"/>
        <v/>
      </c>
      <c r="C21" s="404"/>
      <c r="D21" s="402" t="str">
        <f t="shared" si="1"/>
        <v/>
      </c>
      <c r="E21" s="4"/>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row>
    <row r="22" spans="1:30">
      <c r="A22" s="390"/>
      <c r="B22" s="403" t="str">
        <f t="shared" si="0"/>
        <v/>
      </c>
      <c r="C22" s="404"/>
      <c r="D22" s="402" t="str">
        <f t="shared" si="1"/>
        <v/>
      </c>
      <c r="E22" s="4"/>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row>
    <row r="23" spans="1:30">
      <c r="A23" s="390"/>
      <c r="B23" s="403" t="str">
        <f t="shared" si="0"/>
        <v/>
      </c>
      <c r="C23" s="404"/>
      <c r="D23" s="402" t="str">
        <f t="shared" si="1"/>
        <v/>
      </c>
      <c r="E23" s="4"/>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row>
    <row r="24" spans="1:30">
      <c r="A24" s="390"/>
      <c r="B24" s="403" t="str">
        <f t="shared" si="0"/>
        <v/>
      </c>
      <c r="C24" s="404"/>
      <c r="D24" s="402" t="str">
        <f t="shared" si="1"/>
        <v/>
      </c>
      <c r="E24" s="4"/>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row>
    <row r="25" spans="1:30" ht="13.5" thickBot="1">
      <c r="A25" s="393"/>
      <c r="B25" s="377" t="str">
        <f t="shared" si="0"/>
        <v/>
      </c>
      <c r="C25" s="766"/>
      <c r="D25" s="379" t="str">
        <f>IF(B25="", "",B25*C25)</f>
        <v/>
      </c>
      <c r="E25" s="4"/>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row>
    <row r="26" spans="1:30">
      <c r="A26" s="9"/>
      <c r="B26" s="4"/>
      <c r="C26" s="4"/>
      <c r="D26" s="4"/>
      <c r="E26" s="4"/>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row>
    <row r="27" spans="1:30">
      <c r="A27" s="251" t="s">
        <v>316</v>
      </c>
      <c r="B27" s="221"/>
      <c r="C27" s="221"/>
      <c r="D27" s="221"/>
      <c r="E27" s="221"/>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row>
    <row r="28" spans="1:30" ht="13.5" thickBot="1">
      <c r="A28" s="7"/>
      <c r="B28" s="4"/>
      <c r="C28" s="4"/>
      <c r="D28" s="4"/>
      <c r="E28" s="4"/>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row>
    <row r="29" spans="1:30">
      <c r="A29" s="21"/>
      <c r="B29" s="22"/>
      <c r="C29" s="22"/>
      <c r="D29" s="26"/>
      <c r="E29" s="31"/>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row>
    <row r="30" spans="1:30" ht="15" thickBot="1">
      <c r="A30" s="24" t="s">
        <v>492</v>
      </c>
      <c r="B30" s="25"/>
      <c r="C30" s="25"/>
      <c r="D30" s="27"/>
      <c r="E30" s="158">
        <f>SUM(D15:D25)*kg_per_lb/1000</f>
        <v>1247.4000000000001</v>
      </c>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row>
    <row r="31" spans="1:30">
      <c r="A31" s="4"/>
      <c r="B31" s="4"/>
      <c r="C31" s="4"/>
      <c r="D31" s="4"/>
      <c r="E31" s="4"/>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row>
    <row r="32" spans="1:30">
      <c r="A32" s="312" t="s">
        <v>129</v>
      </c>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row>
    <row r="33" spans="1:30">
      <c r="A33" s="312" t="s">
        <v>674</v>
      </c>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row>
    <row r="34" spans="1:30">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row>
    <row r="35" spans="1:30">
      <c r="A35" s="16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row>
    <row r="36" spans="1:30">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row>
    <row r="37" spans="1:30">
      <c r="A37" s="162"/>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row>
    <row r="38" spans="1:30">
      <c r="A38" s="162"/>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row>
    <row r="39" spans="1:30">
      <c r="A39" s="162"/>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row>
    <row r="40" spans="1:30">
      <c r="A40" s="162"/>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row>
    <row r="41" spans="1:30">
      <c r="A41" s="162"/>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row>
    <row r="42" spans="1:30">
      <c r="A42" s="162"/>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row>
    <row r="43" spans="1:30">
      <c r="A43" s="16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row>
    <row r="44" spans="1:30">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row>
    <row r="45" spans="1:30">
      <c r="A45" s="162"/>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row>
    <row r="46" spans="1:30">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row>
    <row r="47" spans="1:30">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row>
    <row r="48" spans="1:30">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row>
    <row r="49" spans="1:30">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row>
    <row r="50" spans="1:30">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row>
    <row r="51" spans="1:30">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row>
    <row r="52" spans="1:30">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row>
    <row r="53" spans="1:30">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row>
    <row r="54" spans="1:30">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row>
    <row r="55" spans="1:30">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row>
    <row r="56" spans="1:30">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row>
    <row r="57" spans="1:30">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row>
    <row r="58" spans="1:30">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row>
    <row r="59" spans="1:30">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row>
    <row r="60" spans="1:30">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row>
    <row r="61" spans="1:30">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row>
    <row r="62" spans="1:30">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row>
    <row r="63" spans="1:30">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row>
    <row r="64" spans="1:30">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row>
    <row r="65" spans="1:30">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row>
    <row r="66" spans="1:30">
      <c r="A66" s="162"/>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row>
    <row r="67" spans="1:30">
      <c r="A67" s="162"/>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row>
    <row r="68" spans="1:30">
      <c r="A68" s="162"/>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row>
    <row r="69" spans="1:30">
      <c r="A69" s="162"/>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row>
    <row r="70" spans="1:30">
      <c r="A70" s="162"/>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row>
    <row r="71" spans="1:30">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row>
    <row r="72" spans="1:30">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row>
    <row r="73" spans="1:30">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row>
    <row r="74" spans="1:30">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row>
    <row r="75" spans="1:30">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row>
    <row r="76" spans="1:30">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row>
    <row r="77" spans="1:30">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row>
    <row r="78" spans="1:30">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row>
    <row r="79" spans="1:30">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row>
    <row r="80" spans="1:30">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row>
    <row r="81" spans="1:30">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row>
    <row r="82" spans="1:30">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row>
    <row r="83" spans="1:30">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row>
    <row r="84" spans="1:30">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row>
    <row r="85" spans="1:30">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row>
    <row r="86" spans="1:30">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row>
    <row r="87" spans="1:30">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row>
    <row r="88" spans="1:30">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row>
    <row r="89" spans="1:30">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row>
    <row r="90" spans="1:30">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row>
    <row r="91" spans="1:30">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row>
    <row r="92" spans="1:30">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row>
    <row r="93" spans="1:30">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row>
    <row r="94" spans="1:30">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row>
    <row r="95" spans="1:30">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row>
    <row r="96" spans="1:30">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row>
    <row r="97" spans="1:30">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row>
    <row r="98" spans="1:30">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row>
    <row r="99" spans="1:30">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row>
    <row r="100" spans="1:30">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row>
    <row r="101" spans="1:30">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row>
    <row r="102" spans="1:30">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row>
    <row r="103" spans="1:30">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row>
    <row r="104" spans="1:30">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row>
    <row r="105" spans="1:30">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row>
    <row r="106" spans="1:30">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row>
    <row r="107" spans="1:30">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row>
    <row r="108" spans="1:30">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row>
    <row r="109" spans="1:30">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row>
    <row r="110" spans="1:30">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row>
    <row r="111" spans="1:30">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row>
    <row r="112" spans="1:30">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row>
    <row r="113" spans="1:30">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row>
    <row r="114" spans="1:30">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row>
    <row r="115" spans="1:30">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row>
    <row r="116" spans="1:30">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row>
    <row r="117" spans="1:30">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row>
    <row r="118" spans="1:30">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row>
    <row r="119" spans="1:30">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row>
    <row r="120" spans="1:30">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row>
    <row r="121" spans="1:30">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row>
    <row r="122" spans="1:30">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row>
    <row r="123" spans="1:30">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row>
    <row r="124" spans="1:30">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row>
    <row r="125" spans="1:30">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row>
    <row r="126" spans="1:30">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row>
    <row r="127" spans="1:30">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row>
    <row r="128" spans="1:30">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row>
    <row r="129" spans="1:30">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row>
    <row r="130" spans="1:30">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row>
    <row r="131" spans="1:30">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row>
    <row r="132" spans="1:30">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row>
    <row r="133" spans="1:30">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row>
    <row r="134" spans="1:30">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row>
    <row r="135" spans="1:30">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row>
    <row r="136" spans="1:30">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row>
    <row r="137" spans="1:30">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row>
    <row r="138" spans="1:30">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row>
    <row r="139" spans="1:30">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row>
    <row r="140" spans="1:30">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row>
    <row r="141" spans="1:30">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row>
    <row r="142" spans="1:30">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row>
    <row r="143" spans="1:30">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row>
    <row r="144" spans="1:30">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row>
    <row r="145" spans="1:30">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row>
    <row r="146" spans="1:30">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row>
    <row r="147" spans="1:30">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row>
    <row r="148" spans="1:30">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row>
    <row r="149" spans="1:30">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row>
    <row r="150" spans="1:30">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row>
    <row r="151" spans="1:30">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row>
    <row r="152" spans="1:30">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row>
    <row r="153" spans="1:30">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row>
    <row r="154" spans="1:30">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row>
    <row r="155" spans="1:30">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row>
    <row r="156" spans="1:30">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row>
    <row r="157" spans="1:30">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row>
    <row r="158" spans="1:30">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row>
    <row r="159" spans="1:30">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row>
    <row r="160" spans="1:30">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row>
    <row r="161" spans="1:30">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row>
    <row r="162" spans="1:30">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row>
    <row r="163" spans="1:30">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row>
    <row r="164" spans="1:30">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row>
    <row r="165" spans="1:30">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row>
    <row r="166" spans="1:30">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row>
    <row r="167" spans="1:30">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row>
    <row r="168" spans="1:30">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row>
    <row r="169" spans="1:30">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row>
    <row r="170" spans="1:30">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row>
    <row r="171" spans="1:30">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row>
    <row r="172" spans="1:30">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row>
    <row r="173" spans="1:30">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row>
    <row r="174" spans="1:30">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row>
    <row r="175" spans="1:30">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row>
    <row r="176" spans="1:30">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row>
    <row r="177" spans="1:30">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row>
    <row r="178" spans="1:30">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row>
    <row r="179" spans="1:30">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row>
    <row r="180" spans="1:30">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row>
    <row r="181" spans="1:30">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row>
    <row r="182" spans="1:30">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row>
    <row r="183" spans="1:30">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row>
    <row r="184" spans="1:30">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row>
    <row r="185" spans="1:30">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row>
    <row r="186" spans="1:30">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row>
    <row r="187" spans="1:30">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row>
    <row r="188" spans="1:30">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row>
    <row r="189" spans="1:30">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row>
    <row r="190" spans="1:30">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row>
    <row r="191" spans="1:30">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row>
    <row r="192" spans="1:30">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row>
    <row r="193" spans="1:30">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row>
    <row r="194" spans="1:30">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row>
    <row r="195" spans="1:30">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row>
    <row r="196" spans="1:30">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row>
    <row r="197" spans="1:30">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row>
    <row r="198" spans="1:30">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row>
  </sheetData>
  <mergeCells count="3">
    <mergeCell ref="A6:H6"/>
    <mergeCell ref="A7:H7"/>
    <mergeCell ref="A8:H8"/>
  </mergeCells>
  <dataValidations count="1">
    <dataValidation type="list" allowBlank="1" showInputMessage="1" showErrorMessage="1" sqref="A15:A25" xr:uid="{00000000-0002-0000-0700-000000000000}">
      <formula1>GHGs</formula1>
    </dataValidation>
  </dataValidations>
  <pageMargins left="0.25" right="0.25" top="0.25" bottom="0.5" header="0.5" footer="0.25"/>
  <pageSetup scale="89" orientation="portrait" r:id="rId1"/>
  <headerFooter alignWithMargins="0">
    <oddFooter>&amp;L&amp;"Arial,Italic"&amp;9EPA Climate Leaders Simplified GHG Emissions Calculator (Direct 3.0)&amp;R&amp;"Arial,Italic"&amp;9&amp;P of &amp;N</oddFooter>
  </headerFooter>
  <colBreaks count="1" manualBreakCount="1">
    <brk id="8"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AF204"/>
  <sheetViews>
    <sheetView topLeftCell="A16" zoomScale="89" zoomScaleNormal="80" workbookViewId="0">
      <selection activeCell="E22" sqref="E22"/>
    </sheetView>
  </sheetViews>
  <sheetFormatPr defaultColWidth="8.85546875" defaultRowHeight="12.75"/>
  <cols>
    <col min="1" max="1" width="9.85546875" customWidth="1"/>
    <col min="2" max="2" width="16.85546875" customWidth="1"/>
    <col min="3" max="3" width="12.42578125" customWidth="1"/>
    <col min="4" max="4" width="31.42578125" customWidth="1"/>
    <col min="5" max="5" width="13.140625" customWidth="1"/>
    <col min="6" max="8" width="13.42578125" customWidth="1"/>
    <col min="9" max="14" width="13.140625" customWidth="1"/>
  </cols>
  <sheetData>
    <row r="1" spans="1:31" ht="24.95" customHeight="1">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row>
    <row r="2" spans="1:31" ht="24.95" customHeight="1">
      <c r="A2" s="162"/>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row>
    <row r="3" spans="1:31" ht="15">
      <c r="A3" s="5" t="s">
        <v>802</v>
      </c>
      <c r="B3" s="4"/>
      <c r="C3" s="4"/>
      <c r="D3" s="4"/>
      <c r="E3" s="4"/>
      <c r="F3" s="4"/>
      <c r="G3" s="4"/>
      <c r="H3" s="162"/>
      <c r="I3" s="162"/>
      <c r="J3" s="162"/>
      <c r="K3" s="162"/>
      <c r="L3" s="162"/>
      <c r="M3" s="162"/>
      <c r="N3" s="162"/>
      <c r="O3" s="162"/>
      <c r="P3" s="162"/>
      <c r="Q3" s="162"/>
      <c r="R3" s="162"/>
      <c r="S3" s="162"/>
      <c r="T3" s="162"/>
      <c r="U3" s="162"/>
      <c r="V3" s="162"/>
      <c r="W3" s="162"/>
      <c r="X3" s="162"/>
      <c r="Y3" s="162"/>
      <c r="Z3" s="162"/>
      <c r="AA3" s="162"/>
      <c r="AB3" s="162"/>
      <c r="AC3" s="162"/>
      <c r="AD3" s="162"/>
      <c r="AE3" s="162"/>
    </row>
    <row r="4" spans="1:31">
      <c r="A4" s="4"/>
      <c r="B4" s="4"/>
      <c r="C4" s="4"/>
      <c r="D4" s="4"/>
      <c r="E4" s="4"/>
      <c r="F4" s="4"/>
      <c r="G4" s="4"/>
      <c r="H4" s="162"/>
      <c r="I4" s="162"/>
      <c r="J4" s="162"/>
      <c r="K4" s="162"/>
      <c r="L4" s="162"/>
      <c r="M4" s="162"/>
      <c r="N4" s="162"/>
      <c r="O4" s="162"/>
      <c r="P4" s="162"/>
      <c r="Q4" s="162"/>
      <c r="R4" s="162"/>
      <c r="S4" s="162"/>
      <c r="T4" s="162"/>
      <c r="U4" s="162"/>
      <c r="V4" s="162"/>
      <c r="W4" s="162"/>
      <c r="X4" s="162"/>
      <c r="Y4" s="162"/>
      <c r="Z4" s="162"/>
      <c r="AA4" s="162"/>
      <c r="AB4" s="162"/>
      <c r="AC4" s="162"/>
      <c r="AD4" s="162"/>
      <c r="AE4" s="162"/>
    </row>
    <row r="5" spans="1:31">
      <c r="A5" s="161" t="s">
        <v>293</v>
      </c>
      <c r="B5" s="4"/>
      <c r="C5" s="4"/>
      <c r="D5" s="4"/>
      <c r="E5" s="4"/>
      <c r="F5" s="4"/>
      <c r="G5" s="4"/>
      <c r="H5" s="162"/>
      <c r="I5" s="162"/>
      <c r="J5" s="162"/>
      <c r="K5" s="162"/>
      <c r="L5" s="162"/>
      <c r="M5" s="162"/>
      <c r="N5" s="162"/>
      <c r="O5" s="162"/>
      <c r="P5" s="162"/>
      <c r="Q5" s="162"/>
      <c r="R5" s="162"/>
      <c r="S5" s="162"/>
      <c r="T5" s="162"/>
      <c r="U5" s="162"/>
      <c r="V5" s="162"/>
      <c r="W5" s="162"/>
      <c r="X5" s="162"/>
      <c r="Y5" s="162"/>
      <c r="Z5" s="162"/>
      <c r="AA5" s="162"/>
      <c r="AB5" s="162"/>
      <c r="AC5" s="162"/>
      <c r="AD5" s="162"/>
      <c r="AE5" s="162"/>
    </row>
    <row r="6" spans="1:31" ht="72.599999999999994" customHeight="1">
      <c r="A6" s="1137" t="s">
        <v>967</v>
      </c>
      <c r="B6" s="1137"/>
      <c r="C6" s="1137"/>
      <c r="D6" s="1137"/>
      <c r="E6" s="1137"/>
      <c r="F6" s="1137"/>
      <c r="G6" s="1137"/>
      <c r="H6" s="162"/>
      <c r="I6" s="162"/>
      <c r="J6" s="162"/>
      <c r="K6" s="162"/>
      <c r="L6" s="162"/>
      <c r="M6" s="162"/>
      <c r="N6" s="162"/>
      <c r="O6" s="162"/>
      <c r="P6" s="162"/>
      <c r="Q6" s="162"/>
      <c r="R6" s="162"/>
      <c r="S6" s="162"/>
      <c r="T6" s="162"/>
      <c r="U6" s="162"/>
      <c r="V6" s="162"/>
      <c r="W6" s="162"/>
      <c r="X6" s="162"/>
      <c r="Y6" s="162"/>
      <c r="Z6" s="162"/>
      <c r="AA6" s="162"/>
      <c r="AB6" s="162"/>
      <c r="AC6" s="162"/>
      <c r="AD6" s="162"/>
      <c r="AE6" s="162"/>
    </row>
    <row r="7" spans="1:31">
      <c r="A7" s="1189" t="s">
        <v>974</v>
      </c>
      <c r="B7" s="1189"/>
      <c r="C7" s="1189"/>
      <c r="D7" s="1189"/>
      <c r="E7" s="1189"/>
      <c r="F7" s="1189"/>
      <c r="G7" s="1189"/>
      <c r="H7" s="162"/>
      <c r="I7" s="162"/>
      <c r="J7" s="162"/>
      <c r="K7" s="162"/>
      <c r="L7" s="162"/>
      <c r="M7" s="162"/>
      <c r="N7" s="162"/>
      <c r="O7" s="162"/>
      <c r="P7" s="162"/>
      <c r="Q7" s="162"/>
      <c r="R7" s="162"/>
      <c r="S7" s="162"/>
      <c r="T7" s="162"/>
      <c r="U7" s="162"/>
      <c r="V7" s="162"/>
      <c r="W7" s="162"/>
      <c r="X7" s="162"/>
      <c r="Y7" s="162"/>
      <c r="Z7" s="162"/>
      <c r="AA7" s="162"/>
      <c r="AB7" s="162"/>
      <c r="AC7" s="162"/>
      <c r="AD7" s="162"/>
      <c r="AE7" s="162"/>
    </row>
    <row r="8" spans="1:31" ht="25.5" customHeight="1">
      <c r="A8" s="1189" t="s">
        <v>826</v>
      </c>
      <c r="B8" s="1189"/>
      <c r="C8" s="1189"/>
      <c r="D8" s="1189"/>
      <c r="E8" s="1189"/>
      <c r="F8" s="1189"/>
      <c r="G8" s="1189"/>
      <c r="H8" s="162"/>
      <c r="I8" s="162"/>
      <c r="J8" s="162"/>
      <c r="K8" s="162"/>
      <c r="L8" s="162"/>
      <c r="M8" s="162"/>
      <c r="N8" s="162"/>
      <c r="O8" s="162"/>
      <c r="P8" s="162"/>
      <c r="Q8" s="162"/>
      <c r="R8" s="162"/>
      <c r="S8" s="162"/>
      <c r="T8" s="162"/>
      <c r="U8" s="162"/>
      <c r="V8" s="162"/>
      <c r="W8" s="162"/>
      <c r="X8" s="162"/>
      <c r="Y8" s="162"/>
      <c r="Z8" s="162"/>
      <c r="AA8" s="162"/>
      <c r="AB8" s="162"/>
      <c r="AC8" s="162"/>
      <c r="AD8" s="162"/>
      <c r="AE8" s="162"/>
    </row>
    <row r="9" spans="1:31">
      <c r="A9" s="217" t="s">
        <v>723</v>
      </c>
      <c r="B9" s="162"/>
      <c r="C9" s="162"/>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ht="24.75" customHeight="1">
      <c r="A10" s="162"/>
      <c r="B10" s="1222" t="s">
        <v>1244</v>
      </c>
      <c r="C10" s="1189"/>
      <c r="D10" s="1189"/>
      <c r="E10" s="1189"/>
      <c r="F10" s="1189"/>
      <c r="G10" s="1189"/>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c r="A11" s="183"/>
      <c r="B11" s="242" t="s">
        <v>1198</v>
      </c>
      <c r="C11" s="243"/>
      <c r="D11" s="243"/>
      <c r="E11" s="243"/>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row>
    <row r="12" spans="1:31" ht="65.25" customHeight="1">
      <c r="A12" s="1189" t="s">
        <v>984</v>
      </c>
      <c r="B12" s="1189"/>
      <c r="C12" s="1189"/>
      <c r="D12" s="1189"/>
      <c r="E12" s="1189"/>
      <c r="F12" s="1189"/>
      <c r="G12" s="1189"/>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row>
    <row r="13" spans="1:31">
      <c r="A13" s="201"/>
      <c r="B13" s="162"/>
      <c r="C13" s="162"/>
      <c r="D13" s="162"/>
      <c r="E13" s="162"/>
      <c r="F13" s="162"/>
      <c r="G13" s="162"/>
      <c r="H13" s="162"/>
      <c r="J13" s="162"/>
      <c r="K13" s="162"/>
      <c r="L13" s="162"/>
      <c r="M13" s="162"/>
      <c r="N13" s="162"/>
      <c r="O13" s="162"/>
      <c r="P13" s="162"/>
      <c r="Q13" s="162"/>
      <c r="R13" s="162"/>
      <c r="S13" s="162"/>
      <c r="T13" s="162"/>
      <c r="U13" s="162"/>
      <c r="V13" s="162"/>
      <c r="W13" s="162"/>
      <c r="X13" s="162"/>
      <c r="Y13" s="162"/>
      <c r="Z13" s="162"/>
      <c r="AA13" s="162"/>
      <c r="AB13" s="162"/>
      <c r="AC13" s="162"/>
      <c r="AD13" s="162"/>
      <c r="AE13" s="162"/>
    </row>
    <row r="14" spans="1:31" ht="13.5" thickBot="1">
      <c r="A14" s="201" t="s">
        <v>953</v>
      </c>
      <c r="B14" s="162"/>
      <c r="C14" s="162"/>
      <c r="D14" s="162"/>
      <c r="E14" s="162"/>
      <c r="F14" s="162"/>
      <c r="G14" s="183"/>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row>
    <row r="15" spans="1:31" ht="27" customHeight="1">
      <c r="A15" s="1236" t="s">
        <v>983</v>
      </c>
      <c r="B15" s="1236"/>
      <c r="C15" s="1236"/>
      <c r="D15" s="1236"/>
      <c r="E15" s="1236"/>
      <c r="F15" s="1247" t="s">
        <v>952</v>
      </c>
      <c r="G15" s="1248"/>
      <c r="H15" s="1248"/>
      <c r="I15" s="1248"/>
      <c r="J15" s="1248"/>
      <c r="K15" s="1248"/>
      <c r="L15" s="1237" t="s">
        <v>808</v>
      </c>
      <c r="M15" s="1238"/>
      <c r="N15" s="1239"/>
      <c r="O15" s="162"/>
      <c r="P15" s="162"/>
      <c r="Q15" s="162"/>
      <c r="R15" s="162"/>
      <c r="S15" s="162"/>
      <c r="T15" s="162"/>
      <c r="U15" s="162"/>
      <c r="V15" s="162"/>
      <c r="W15" s="162"/>
      <c r="X15" s="162"/>
      <c r="Y15" s="162"/>
      <c r="Z15" s="162"/>
      <c r="AA15" s="162"/>
      <c r="AB15" s="162"/>
      <c r="AC15" s="162"/>
      <c r="AD15" s="162"/>
      <c r="AE15" s="162"/>
    </row>
    <row r="16" spans="1:31" ht="13.5" thickBot="1">
      <c r="A16" s="7" t="s">
        <v>38</v>
      </c>
      <c r="B16" s="4"/>
      <c r="C16" s="4"/>
      <c r="D16" s="4"/>
      <c r="E16" s="4"/>
      <c r="F16" s="1240" t="s">
        <v>805</v>
      </c>
      <c r="G16" s="1241"/>
      <c r="H16" s="1242"/>
      <c r="I16" s="1243" t="s">
        <v>173</v>
      </c>
      <c r="J16" s="1241"/>
      <c r="K16" s="1241"/>
      <c r="L16" s="1244" t="s">
        <v>173</v>
      </c>
      <c r="M16" s="1245"/>
      <c r="N16" s="1246"/>
      <c r="O16" s="162"/>
      <c r="P16" s="162"/>
      <c r="Q16" s="162"/>
      <c r="R16" s="162"/>
      <c r="S16" s="162"/>
      <c r="T16" s="162"/>
      <c r="U16" s="162"/>
      <c r="V16" s="162"/>
      <c r="W16" s="162"/>
      <c r="X16" s="162"/>
      <c r="Y16" s="162"/>
      <c r="Z16" s="162"/>
      <c r="AA16" s="162"/>
      <c r="AB16" s="162"/>
      <c r="AC16" s="162"/>
      <c r="AD16" s="162"/>
      <c r="AE16" s="162"/>
    </row>
    <row r="17" spans="1:32" ht="14.25">
      <c r="A17" s="12" t="s">
        <v>153</v>
      </c>
      <c r="B17" s="13" t="s">
        <v>153</v>
      </c>
      <c r="C17" s="13" t="s">
        <v>153</v>
      </c>
      <c r="D17" s="13" t="s">
        <v>68</v>
      </c>
      <c r="E17" s="125" t="s">
        <v>69</v>
      </c>
      <c r="F17" s="30" t="s">
        <v>97</v>
      </c>
      <c r="G17" s="19" t="s">
        <v>171</v>
      </c>
      <c r="H17" s="112" t="s">
        <v>96</v>
      </c>
      <c r="I17" s="81" t="s">
        <v>97</v>
      </c>
      <c r="J17" s="19" t="s">
        <v>171</v>
      </c>
      <c r="K17" s="112" t="s">
        <v>96</v>
      </c>
      <c r="L17" s="12" t="s">
        <v>97</v>
      </c>
      <c r="M17" s="13" t="s">
        <v>171</v>
      </c>
      <c r="N17" s="14" t="s">
        <v>96</v>
      </c>
      <c r="O17" s="162"/>
      <c r="P17" s="162"/>
      <c r="Q17" s="162"/>
      <c r="R17" s="162"/>
      <c r="S17" s="162"/>
      <c r="T17" s="162"/>
      <c r="U17" s="162"/>
      <c r="V17" s="162"/>
      <c r="W17" s="162"/>
      <c r="X17" s="162"/>
      <c r="Y17" s="162"/>
      <c r="Z17" s="162"/>
      <c r="AA17" s="162"/>
      <c r="AB17" s="162"/>
      <c r="AC17" s="162"/>
      <c r="AD17" s="162"/>
      <c r="AE17" s="162"/>
      <c r="AF17" s="162"/>
    </row>
    <row r="18" spans="1:32">
      <c r="A18" s="30" t="s">
        <v>156</v>
      </c>
      <c r="B18" s="19" t="s">
        <v>157</v>
      </c>
      <c r="C18" s="19" t="s">
        <v>679</v>
      </c>
      <c r="D18" s="561" t="s">
        <v>809</v>
      </c>
      <c r="E18" s="112" t="s">
        <v>70</v>
      </c>
      <c r="F18" s="30" t="s">
        <v>173</v>
      </c>
      <c r="G18" s="19" t="s">
        <v>173</v>
      </c>
      <c r="H18" s="112" t="s">
        <v>173</v>
      </c>
      <c r="I18" s="19" t="s">
        <v>173</v>
      </c>
      <c r="J18" s="19" t="s">
        <v>173</v>
      </c>
      <c r="K18" s="112" t="s">
        <v>173</v>
      </c>
      <c r="L18" s="30" t="s">
        <v>173</v>
      </c>
      <c r="M18" s="19" t="s">
        <v>173</v>
      </c>
      <c r="N18" s="20" t="s">
        <v>173</v>
      </c>
      <c r="O18" s="162"/>
      <c r="P18" s="162"/>
      <c r="Q18" s="162"/>
      <c r="R18" s="162"/>
      <c r="S18" s="162"/>
      <c r="T18" s="162"/>
      <c r="U18" s="162"/>
      <c r="V18" s="162"/>
      <c r="W18" s="162"/>
      <c r="X18" s="162"/>
      <c r="Y18" s="162"/>
      <c r="Z18" s="162"/>
      <c r="AA18" s="162"/>
      <c r="AB18" s="162"/>
      <c r="AC18" s="162"/>
      <c r="AD18" s="162"/>
      <c r="AE18" s="162"/>
      <c r="AF18" s="162"/>
    </row>
    <row r="19" spans="1:32" ht="13.5" thickBot="1">
      <c r="A19" s="15"/>
      <c r="B19" s="16"/>
      <c r="C19" s="16"/>
      <c r="D19" s="16"/>
      <c r="E19" s="97" t="s">
        <v>39</v>
      </c>
      <c r="F19" s="15" t="s">
        <v>806</v>
      </c>
      <c r="G19" s="16" t="s">
        <v>806</v>
      </c>
      <c r="H19" s="97" t="s">
        <v>806</v>
      </c>
      <c r="I19" s="16" t="s">
        <v>181</v>
      </c>
      <c r="J19" s="16" t="s">
        <v>181</v>
      </c>
      <c r="K19" s="97" t="s">
        <v>181</v>
      </c>
      <c r="L19" s="15" t="s">
        <v>181</v>
      </c>
      <c r="M19" s="16" t="s">
        <v>181</v>
      </c>
      <c r="N19" s="17" t="s">
        <v>181</v>
      </c>
      <c r="O19" s="162"/>
      <c r="P19" s="162"/>
      <c r="Q19" s="162"/>
      <c r="R19" s="162"/>
      <c r="S19" s="162"/>
      <c r="T19" s="162"/>
      <c r="U19" s="162"/>
      <c r="V19" s="162"/>
      <c r="W19" s="162"/>
      <c r="X19" s="162"/>
      <c r="Y19" s="162"/>
      <c r="Z19" s="162"/>
      <c r="AA19" s="162"/>
      <c r="AB19" s="162"/>
      <c r="AC19" s="162"/>
      <c r="AD19" s="162"/>
      <c r="AE19" s="162"/>
      <c r="AF19" s="162"/>
    </row>
    <row r="20" spans="1:32">
      <c r="A20" s="448" t="s">
        <v>16</v>
      </c>
      <c r="B20" s="449" t="s">
        <v>160</v>
      </c>
      <c r="C20" s="479">
        <v>12517</v>
      </c>
      <c r="D20" s="613" t="s">
        <v>49</v>
      </c>
      <c r="E20" s="808">
        <v>200000</v>
      </c>
      <c r="F20" s="810">
        <v>0</v>
      </c>
      <c r="G20" s="612">
        <v>0</v>
      </c>
      <c r="H20" s="612">
        <v>0</v>
      </c>
      <c r="I20" s="458">
        <f>IFERROR(IF(ISBLANK(F20),L20,E20/1000*F20),"Enter Factor")</f>
        <v>0</v>
      </c>
      <c r="J20" s="458">
        <f>IFERROR(IF(ISBLANK(G20),M20,F20/1000*G20),"Enter Factor")</f>
        <v>0</v>
      </c>
      <c r="K20" s="814">
        <f>IFERROR(IF(ISBLANK(H20),N20,G20/1000*H20),"Enter Factor")</f>
        <v>0</v>
      </c>
      <c r="L20" s="816">
        <f>IF(ISNA(VLOOKUP($D20,eGRID_em_Fctrs,4,FALSE)),"",VLOOKUP($D20,eGRID_em_Fctrs,4,FALSE)*$E20/1000)</f>
        <v>226880.00000000003</v>
      </c>
      <c r="M20" s="458">
        <f t="shared" ref="M20:M57" si="0">IF(ISNA(VLOOKUP($D20,eGRID_em_Fctrs,5,FALSE)),"",VLOOKUP($D20,eGRID_em_Fctrs,5,FALSE)*$E20/1000)</f>
        <v>27</v>
      </c>
      <c r="N20" s="811">
        <f t="shared" ref="N20:N57" si="1">IF(ISNA(VLOOKUP($D20,eGRID_em_Fctrs,7,FALSE)),"",VLOOKUP($D20,eGRID_em_Fctrs,7,FALSE)*$E20/1000)</f>
        <v>4.2</v>
      </c>
      <c r="O20" s="162"/>
      <c r="P20" s="162"/>
      <c r="Q20" s="162"/>
      <c r="R20" s="162"/>
      <c r="S20" s="162"/>
      <c r="T20" s="162"/>
      <c r="U20" s="162"/>
      <c r="V20" s="162"/>
      <c r="W20" s="162"/>
      <c r="X20" s="162"/>
      <c r="Y20" s="162"/>
      <c r="Z20" s="162"/>
      <c r="AA20" s="162"/>
      <c r="AB20" s="162"/>
      <c r="AC20" s="162"/>
      <c r="AD20" s="162"/>
      <c r="AE20" s="162"/>
      <c r="AF20" s="162"/>
    </row>
    <row r="21" spans="1:32">
      <c r="A21" s="838" t="s">
        <v>247</v>
      </c>
      <c r="B21" s="725" t="s">
        <v>1368</v>
      </c>
      <c r="C21" s="179">
        <v>71437</v>
      </c>
      <c r="D21" s="614" t="s">
        <v>49</v>
      </c>
      <c r="E21" s="851">
        <v>150000</v>
      </c>
      <c r="F21" s="812" t="s">
        <v>807</v>
      </c>
      <c r="G21" s="610" t="s">
        <v>807</v>
      </c>
      <c r="H21" s="610" t="s">
        <v>807</v>
      </c>
      <c r="I21" s="380">
        <f t="shared" ref="I21:K22" si="2">IFERROR(IF(OR(ISBLANK(F21),F21="&lt;enter factor&gt;"),L21,$E21/1000*F21),"")</f>
        <v>170160</v>
      </c>
      <c r="J21" s="380">
        <f t="shared" si="2"/>
        <v>20.25</v>
      </c>
      <c r="K21" s="815">
        <f t="shared" si="2"/>
        <v>3.15</v>
      </c>
      <c r="L21" s="817">
        <f>IF(ISNA(VLOOKUP($D21,eGRID_em_Fctrs,4,FALSE)),"",VLOOKUP($D21,eGRID_em_Fctrs,4,FALSE)*$E21/1000)</f>
        <v>170160</v>
      </c>
      <c r="M21" s="380">
        <f t="shared" si="0"/>
        <v>20.25</v>
      </c>
      <c r="N21" s="402">
        <f t="shared" si="1"/>
        <v>3.15</v>
      </c>
      <c r="O21" s="162"/>
      <c r="P21" s="162"/>
      <c r="Q21" s="162"/>
      <c r="R21" s="162"/>
      <c r="S21" s="162"/>
      <c r="T21" s="162"/>
      <c r="U21" s="162"/>
      <c r="V21" s="162"/>
      <c r="W21" s="162"/>
      <c r="X21" s="162"/>
      <c r="Y21" s="162"/>
      <c r="Z21" s="162"/>
      <c r="AA21" s="162"/>
      <c r="AB21" s="162"/>
      <c r="AC21" s="162"/>
      <c r="AD21" s="162"/>
      <c r="AE21" s="162"/>
      <c r="AF21" s="162"/>
    </row>
    <row r="22" spans="1:32">
      <c r="A22" s="65"/>
      <c r="B22" s="29"/>
      <c r="C22" s="73"/>
      <c r="D22" s="29"/>
      <c r="E22" s="790"/>
      <c r="F22" s="812" t="s">
        <v>807</v>
      </c>
      <c r="G22" s="610" t="s">
        <v>807</v>
      </c>
      <c r="H22" s="610" t="s">
        <v>807</v>
      </c>
      <c r="I22" s="380" t="str">
        <f t="shared" si="2"/>
        <v/>
      </c>
      <c r="J22" s="380" t="str">
        <f t="shared" si="2"/>
        <v/>
      </c>
      <c r="K22" s="815" t="str">
        <f t="shared" si="2"/>
        <v/>
      </c>
      <c r="L22" s="817" t="str">
        <f t="shared" ref="L22:L57" si="3">IF(ISNA(VLOOKUP($D22,eGRID_em_Fctrs,4,FALSE)),"",VLOOKUP($D22,eGRID_em_Fctrs,4,FALSE)*$E22/1000)</f>
        <v/>
      </c>
      <c r="M22" s="380" t="str">
        <f t="shared" si="0"/>
        <v/>
      </c>
      <c r="N22" s="402" t="str">
        <f t="shared" si="1"/>
        <v/>
      </c>
      <c r="O22" s="162"/>
      <c r="P22" s="162"/>
      <c r="Q22" s="162"/>
      <c r="R22" s="162"/>
      <c r="S22" s="162"/>
      <c r="T22" s="162"/>
      <c r="U22" s="162"/>
      <c r="V22" s="162"/>
      <c r="W22" s="162"/>
      <c r="X22" s="162"/>
      <c r="Y22" s="162"/>
      <c r="Z22" s="162"/>
      <c r="AA22" s="162"/>
      <c r="AB22" s="162"/>
      <c r="AC22" s="162"/>
      <c r="AD22" s="162"/>
      <c r="AE22" s="162"/>
      <c r="AF22" s="162"/>
    </row>
    <row r="23" spans="1:32">
      <c r="A23" s="65"/>
      <c r="B23" s="29"/>
      <c r="C23" s="73"/>
      <c r="D23" s="29"/>
      <c r="E23" s="790"/>
      <c r="F23" s="812" t="s">
        <v>807</v>
      </c>
      <c r="G23" s="610" t="s">
        <v>807</v>
      </c>
      <c r="H23" s="610" t="s">
        <v>807</v>
      </c>
      <c r="I23" s="380" t="str">
        <f t="shared" ref="I23:I57" si="4">IFERROR(IF(OR(ISBLANK(F23),F23="&lt;enter factor&gt;"),L23,$E23/1000*F23),"")</f>
        <v/>
      </c>
      <c r="J23" s="380" t="str">
        <f>IFERROR(IF(OR(ISBLANK(G23),G23="&lt;enter factor&gt;"),M23,$E23/1000*G23),"")</f>
        <v/>
      </c>
      <c r="K23" s="815" t="str">
        <f>IFERROR(IF(OR(ISBLANK(H23),H23="&lt;enter factor&gt;"),N23,$E23/1000*H23),"")</f>
        <v/>
      </c>
      <c r="L23" s="817" t="str">
        <f>IF(ISNA(VLOOKUP($D23,eGRID_em_Fctrs,4,FALSE)),"",VLOOKUP($D23,eGRID_em_Fctrs,4,FALSE)*$E23/1000)</f>
        <v/>
      </c>
      <c r="M23" s="380" t="str">
        <f t="shared" si="0"/>
        <v/>
      </c>
      <c r="N23" s="402" t="str">
        <f t="shared" si="1"/>
        <v/>
      </c>
      <c r="O23" s="162"/>
      <c r="P23" s="162"/>
      <c r="Q23" s="162"/>
      <c r="R23" s="162"/>
      <c r="S23" s="162"/>
      <c r="T23" s="162"/>
      <c r="U23" s="162"/>
      <c r="V23" s="162"/>
      <c r="W23" s="162"/>
      <c r="X23" s="162"/>
      <c r="Y23" s="162"/>
      <c r="Z23" s="162"/>
      <c r="AA23" s="162"/>
      <c r="AB23" s="162"/>
      <c r="AC23" s="162"/>
      <c r="AD23" s="162"/>
      <c r="AE23" s="162"/>
      <c r="AF23" s="162"/>
    </row>
    <row r="24" spans="1:32">
      <c r="A24" s="65"/>
      <c r="B24" s="29"/>
      <c r="C24" s="73"/>
      <c r="D24" s="29"/>
      <c r="E24" s="790"/>
      <c r="F24" s="812" t="s">
        <v>807</v>
      </c>
      <c r="G24" s="610" t="s">
        <v>807</v>
      </c>
      <c r="H24" s="610" t="s">
        <v>807</v>
      </c>
      <c r="I24" s="380" t="str">
        <f t="shared" si="4"/>
        <v/>
      </c>
      <c r="J24" s="380" t="str">
        <f t="shared" ref="J24:J57" si="5">IFERROR(IF(OR(ISBLANK(G24),G24="&lt;enter factor&gt;"),M24,$E24/1000*G24),"")</f>
        <v/>
      </c>
      <c r="K24" s="815" t="str">
        <f t="shared" ref="K24:K57" si="6">IFERROR(IF(OR(ISBLANK(H24),H24="&lt;enter factor&gt;"),N24,$E24/1000*H24),"")</f>
        <v/>
      </c>
      <c r="L24" s="817" t="str">
        <f t="shared" si="3"/>
        <v/>
      </c>
      <c r="M24" s="380" t="str">
        <f t="shared" si="0"/>
        <v/>
      </c>
      <c r="N24" s="402" t="str">
        <f t="shared" si="1"/>
        <v/>
      </c>
      <c r="O24" s="162"/>
      <c r="P24" s="162"/>
      <c r="Q24" s="162"/>
      <c r="R24" s="162"/>
      <c r="S24" s="162"/>
      <c r="T24" s="162"/>
      <c r="U24" s="162"/>
      <c r="V24" s="162"/>
      <c r="W24" s="162"/>
      <c r="X24" s="162"/>
      <c r="Y24" s="162"/>
      <c r="Z24" s="162"/>
      <c r="AA24" s="162"/>
      <c r="AB24" s="162"/>
      <c r="AC24" s="162"/>
      <c r="AD24" s="162"/>
      <c r="AE24" s="162"/>
      <c r="AF24" s="162"/>
    </row>
    <row r="25" spans="1:32">
      <c r="A25" s="65"/>
      <c r="B25" s="29"/>
      <c r="C25" s="73"/>
      <c r="D25" s="29"/>
      <c r="E25" s="790"/>
      <c r="F25" s="812" t="s">
        <v>807</v>
      </c>
      <c r="G25" s="610" t="s">
        <v>807</v>
      </c>
      <c r="H25" s="610" t="s">
        <v>807</v>
      </c>
      <c r="I25" s="380" t="str">
        <f t="shared" si="4"/>
        <v/>
      </c>
      <c r="J25" s="380" t="str">
        <f t="shared" si="5"/>
        <v/>
      </c>
      <c r="K25" s="815" t="str">
        <f t="shared" si="6"/>
        <v/>
      </c>
      <c r="L25" s="817" t="str">
        <f t="shared" si="3"/>
        <v/>
      </c>
      <c r="M25" s="380" t="str">
        <f t="shared" si="0"/>
        <v/>
      </c>
      <c r="N25" s="402" t="str">
        <f t="shared" si="1"/>
        <v/>
      </c>
      <c r="O25" s="162"/>
      <c r="P25" s="162"/>
      <c r="Q25" s="162"/>
      <c r="R25" s="162"/>
      <c r="S25" s="162"/>
      <c r="T25" s="162"/>
      <c r="U25" s="162"/>
      <c r="V25" s="162"/>
      <c r="W25" s="162"/>
      <c r="X25" s="162"/>
      <c r="Y25" s="162"/>
      <c r="Z25" s="162"/>
      <c r="AA25" s="162"/>
      <c r="AB25" s="162"/>
      <c r="AC25" s="162"/>
      <c r="AD25" s="162"/>
      <c r="AE25" s="162"/>
      <c r="AF25" s="162"/>
    </row>
    <row r="26" spans="1:32">
      <c r="A26" s="65"/>
      <c r="B26" s="29"/>
      <c r="C26" s="73"/>
      <c r="D26" s="29"/>
      <c r="E26" s="790"/>
      <c r="F26" s="812" t="s">
        <v>807</v>
      </c>
      <c r="G26" s="610" t="s">
        <v>807</v>
      </c>
      <c r="H26" s="610" t="s">
        <v>807</v>
      </c>
      <c r="I26" s="380" t="str">
        <f t="shared" si="4"/>
        <v/>
      </c>
      <c r="J26" s="380" t="str">
        <f t="shared" si="5"/>
        <v/>
      </c>
      <c r="K26" s="815" t="str">
        <f t="shared" si="6"/>
        <v/>
      </c>
      <c r="L26" s="817" t="str">
        <f t="shared" si="3"/>
        <v/>
      </c>
      <c r="M26" s="380" t="str">
        <f t="shared" si="0"/>
        <v/>
      </c>
      <c r="N26" s="402" t="str">
        <f t="shared" si="1"/>
        <v/>
      </c>
      <c r="O26" s="162"/>
      <c r="P26" s="162"/>
      <c r="Q26" s="162"/>
      <c r="R26" s="162"/>
      <c r="S26" s="162"/>
      <c r="T26" s="162"/>
      <c r="U26" s="162"/>
      <c r="V26" s="162"/>
      <c r="W26" s="162"/>
      <c r="X26" s="162"/>
      <c r="Y26" s="162"/>
      <c r="Z26" s="162"/>
      <c r="AA26" s="162"/>
      <c r="AB26" s="162"/>
      <c r="AC26" s="162"/>
      <c r="AD26" s="162"/>
      <c r="AE26" s="162"/>
      <c r="AF26" s="162"/>
    </row>
    <row r="27" spans="1:32">
      <c r="A27" s="65"/>
      <c r="B27" s="29"/>
      <c r="C27" s="73"/>
      <c r="D27" s="29"/>
      <c r="E27" s="790"/>
      <c r="F27" s="812" t="s">
        <v>807</v>
      </c>
      <c r="G27" s="610" t="s">
        <v>807</v>
      </c>
      <c r="H27" s="610" t="s">
        <v>807</v>
      </c>
      <c r="I27" s="380" t="str">
        <f t="shared" si="4"/>
        <v/>
      </c>
      <c r="J27" s="380" t="str">
        <f t="shared" si="5"/>
        <v/>
      </c>
      <c r="K27" s="815" t="str">
        <f t="shared" si="6"/>
        <v/>
      </c>
      <c r="L27" s="817" t="str">
        <f t="shared" si="3"/>
        <v/>
      </c>
      <c r="M27" s="380" t="str">
        <f t="shared" si="0"/>
        <v/>
      </c>
      <c r="N27" s="402" t="str">
        <f t="shared" si="1"/>
        <v/>
      </c>
      <c r="O27" s="162"/>
      <c r="P27" s="162"/>
      <c r="Q27" s="162"/>
      <c r="R27" s="162"/>
      <c r="S27" s="162"/>
      <c r="T27" s="162"/>
      <c r="U27" s="162"/>
      <c r="V27" s="162"/>
      <c r="W27" s="162"/>
      <c r="X27" s="162"/>
      <c r="Y27" s="162"/>
      <c r="Z27" s="162"/>
      <c r="AA27" s="162"/>
      <c r="AB27" s="162"/>
      <c r="AC27" s="162"/>
      <c r="AD27" s="162"/>
      <c r="AE27" s="162"/>
      <c r="AF27" s="162"/>
    </row>
    <row r="28" spans="1:32">
      <c r="A28" s="65"/>
      <c r="B28" s="29"/>
      <c r="C28" s="73"/>
      <c r="D28" s="29"/>
      <c r="E28" s="790"/>
      <c r="F28" s="812" t="s">
        <v>807</v>
      </c>
      <c r="G28" s="610" t="s">
        <v>807</v>
      </c>
      <c r="H28" s="610" t="s">
        <v>807</v>
      </c>
      <c r="I28" s="380" t="str">
        <f t="shared" si="4"/>
        <v/>
      </c>
      <c r="J28" s="380" t="str">
        <f t="shared" si="5"/>
        <v/>
      </c>
      <c r="K28" s="815" t="str">
        <f t="shared" si="6"/>
        <v/>
      </c>
      <c r="L28" s="817" t="str">
        <f t="shared" si="3"/>
        <v/>
      </c>
      <c r="M28" s="380" t="str">
        <f t="shared" si="0"/>
        <v/>
      </c>
      <c r="N28" s="402" t="str">
        <f t="shared" si="1"/>
        <v/>
      </c>
      <c r="O28" s="162"/>
      <c r="P28" s="162"/>
      <c r="Q28" s="162"/>
      <c r="R28" s="162"/>
      <c r="S28" s="162"/>
      <c r="T28" s="162"/>
      <c r="U28" s="162"/>
      <c r="V28" s="162"/>
      <c r="W28" s="162"/>
      <c r="X28" s="162"/>
      <c r="Y28" s="162"/>
      <c r="Z28" s="162"/>
      <c r="AA28" s="162"/>
      <c r="AB28" s="162"/>
      <c r="AC28" s="162"/>
      <c r="AD28" s="162"/>
      <c r="AE28" s="162"/>
      <c r="AF28" s="162"/>
    </row>
    <row r="29" spans="1:32">
      <c r="A29" s="65"/>
      <c r="B29" s="29"/>
      <c r="C29" s="73"/>
      <c r="D29" s="29"/>
      <c r="E29" s="790"/>
      <c r="F29" s="812" t="s">
        <v>807</v>
      </c>
      <c r="G29" s="610" t="s">
        <v>807</v>
      </c>
      <c r="H29" s="610" t="s">
        <v>807</v>
      </c>
      <c r="I29" s="380" t="str">
        <f t="shared" si="4"/>
        <v/>
      </c>
      <c r="J29" s="380" t="str">
        <f t="shared" si="5"/>
        <v/>
      </c>
      <c r="K29" s="815" t="str">
        <f t="shared" si="6"/>
        <v/>
      </c>
      <c r="L29" s="817" t="str">
        <f t="shared" si="3"/>
        <v/>
      </c>
      <c r="M29" s="380" t="str">
        <f t="shared" si="0"/>
        <v/>
      </c>
      <c r="N29" s="402" t="str">
        <f t="shared" si="1"/>
        <v/>
      </c>
      <c r="O29" s="162"/>
      <c r="P29" s="162"/>
      <c r="Q29" s="162"/>
      <c r="R29" s="162"/>
      <c r="S29" s="162"/>
      <c r="T29" s="162"/>
      <c r="U29" s="162"/>
      <c r="V29" s="162"/>
      <c r="W29" s="162"/>
      <c r="X29" s="162"/>
      <c r="Y29" s="162"/>
      <c r="Z29" s="162"/>
      <c r="AA29" s="162"/>
      <c r="AB29" s="162"/>
      <c r="AC29" s="162"/>
      <c r="AD29" s="162"/>
      <c r="AE29" s="162"/>
      <c r="AF29" s="162"/>
    </row>
    <row r="30" spans="1:32">
      <c r="A30" s="65"/>
      <c r="B30" s="29"/>
      <c r="C30" s="73"/>
      <c r="D30" s="29"/>
      <c r="E30" s="790"/>
      <c r="F30" s="812" t="s">
        <v>807</v>
      </c>
      <c r="G30" s="610" t="s">
        <v>807</v>
      </c>
      <c r="H30" s="610" t="s">
        <v>807</v>
      </c>
      <c r="I30" s="380" t="str">
        <f t="shared" si="4"/>
        <v/>
      </c>
      <c r="J30" s="380" t="str">
        <f t="shared" si="5"/>
        <v/>
      </c>
      <c r="K30" s="815" t="str">
        <f t="shared" si="6"/>
        <v/>
      </c>
      <c r="L30" s="817" t="str">
        <f t="shared" si="3"/>
        <v/>
      </c>
      <c r="M30" s="380" t="str">
        <f t="shared" si="0"/>
        <v/>
      </c>
      <c r="N30" s="402" t="str">
        <f t="shared" si="1"/>
        <v/>
      </c>
      <c r="O30" s="162"/>
      <c r="P30" s="162"/>
      <c r="Q30" s="162"/>
      <c r="R30" s="162"/>
      <c r="S30" s="162"/>
      <c r="T30" s="162"/>
      <c r="U30" s="162"/>
      <c r="V30" s="162"/>
      <c r="W30" s="162"/>
      <c r="X30" s="162"/>
      <c r="Y30" s="162"/>
      <c r="Z30" s="162"/>
      <c r="AA30" s="162"/>
      <c r="AB30" s="162"/>
      <c r="AC30" s="162"/>
      <c r="AD30" s="162"/>
      <c r="AE30" s="162"/>
      <c r="AF30" s="162"/>
    </row>
    <row r="31" spans="1:32">
      <c r="A31" s="65"/>
      <c r="B31" s="29"/>
      <c r="C31" s="73"/>
      <c r="D31" s="29"/>
      <c r="E31" s="790"/>
      <c r="F31" s="812" t="s">
        <v>807</v>
      </c>
      <c r="G31" s="610" t="s">
        <v>807</v>
      </c>
      <c r="H31" s="610" t="s">
        <v>807</v>
      </c>
      <c r="I31" s="380" t="str">
        <f t="shared" si="4"/>
        <v/>
      </c>
      <c r="J31" s="380" t="str">
        <f t="shared" si="5"/>
        <v/>
      </c>
      <c r="K31" s="815" t="str">
        <f t="shared" si="6"/>
        <v/>
      </c>
      <c r="L31" s="817" t="str">
        <f t="shared" si="3"/>
        <v/>
      </c>
      <c r="M31" s="380" t="str">
        <f t="shared" si="0"/>
        <v/>
      </c>
      <c r="N31" s="402" t="str">
        <f t="shared" si="1"/>
        <v/>
      </c>
      <c r="O31" s="162"/>
      <c r="P31" s="162"/>
      <c r="Q31" s="162"/>
      <c r="R31" s="162"/>
      <c r="S31" s="162"/>
      <c r="T31" s="162"/>
      <c r="U31" s="162"/>
      <c r="V31" s="162"/>
      <c r="W31" s="162"/>
      <c r="X31" s="162"/>
      <c r="Y31" s="162"/>
      <c r="Z31" s="162"/>
      <c r="AA31" s="162"/>
      <c r="AB31" s="162"/>
      <c r="AC31" s="162"/>
      <c r="AD31" s="162"/>
      <c r="AE31" s="162"/>
      <c r="AF31" s="162"/>
    </row>
    <row r="32" spans="1:32">
      <c r="A32" s="65"/>
      <c r="B32" s="29"/>
      <c r="C32" s="73"/>
      <c r="D32" s="29"/>
      <c r="E32" s="790"/>
      <c r="F32" s="812" t="s">
        <v>807</v>
      </c>
      <c r="G32" s="610" t="s">
        <v>807</v>
      </c>
      <c r="H32" s="610" t="s">
        <v>807</v>
      </c>
      <c r="I32" s="380" t="str">
        <f t="shared" si="4"/>
        <v/>
      </c>
      <c r="J32" s="380" t="str">
        <f t="shared" si="5"/>
        <v/>
      </c>
      <c r="K32" s="815" t="str">
        <f t="shared" si="6"/>
        <v/>
      </c>
      <c r="L32" s="817" t="str">
        <f t="shared" si="3"/>
        <v/>
      </c>
      <c r="M32" s="380" t="str">
        <f t="shared" si="0"/>
        <v/>
      </c>
      <c r="N32" s="402" t="str">
        <f t="shared" si="1"/>
        <v/>
      </c>
      <c r="O32" s="162"/>
      <c r="P32" s="162"/>
      <c r="Q32" s="162"/>
      <c r="R32" s="162"/>
      <c r="S32" s="162"/>
      <c r="T32" s="162"/>
      <c r="U32" s="162"/>
      <c r="V32" s="162"/>
      <c r="W32" s="162"/>
      <c r="X32" s="162"/>
      <c r="Y32" s="162"/>
      <c r="Z32" s="162"/>
      <c r="AA32" s="162"/>
      <c r="AB32" s="162"/>
      <c r="AC32" s="162"/>
      <c r="AD32" s="162"/>
      <c r="AE32" s="162"/>
      <c r="AF32" s="162"/>
    </row>
    <row r="33" spans="1:32">
      <c r="A33" s="65"/>
      <c r="B33" s="29"/>
      <c r="C33" s="73"/>
      <c r="D33" s="29"/>
      <c r="E33" s="790"/>
      <c r="F33" s="812" t="s">
        <v>807</v>
      </c>
      <c r="G33" s="610" t="s">
        <v>807</v>
      </c>
      <c r="H33" s="610" t="s">
        <v>807</v>
      </c>
      <c r="I33" s="380" t="str">
        <f t="shared" si="4"/>
        <v/>
      </c>
      <c r="J33" s="380" t="str">
        <f t="shared" si="5"/>
        <v/>
      </c>
      <c r="K33" s="815" t="str">
        <f t="shared" si="6"/>
        <v/>
      </c>
      <c r="L33" s="817" t="str">
        <f t="shared" si="3"/>
        <v/>
      </c>
      <c r="M33" s="380" t="str">
        <f t="shared" si="0"/>
        <v/>
      </c>
      <c r="N33" s="402" t="str">
        <f t="shared" si="1"/>
        <v/>
      </c>
      <c r="O33" s="162"/>
      <c r="P33" s="162"/>
      <c r="Q33" s="162"/>
      <c r="R33" s="162"/>
      <c r="S33" s="162"/>
      <c r="T33" s="162"/>
      <c r="U33" s="162"/>
      <c r="V33" s="162"/>
      <c r="W33" s="162"/>
      <c r="X33" s="162"/>
      <c r="Y33" s="162"/>
      <c r="Z33" s="162"/>
      <c r="AA33" s="162"/>
      <c r="AB33" s="162"/>
      <c r="AC33" s="162"/>
      <c r="AD33" s="162"/>
      <c r="AE33" s="162"/>
      <c r="AF33" s="162"/>
    </row>
    <row r="34" spans="1:32">
      <c r="A34" s="65"/>
      <c r="B34" s="29"/>
      <c r="C34" s="73"/>
      <c r="D34" s="29"/>
      <c r="E34" s="790"/>
      <c r="F34" s="812" t="s">
        <v>807</v>
      </c>
      <c r="G34" s="610" t="s">
        <v>807</v>
      </c>
      <c r="H34" s="610" t="s">
        <v>807</v>
      </c>
      <c r="I34" s="380" t="str">
        <f t="shared" si="4"/>
        <v/>
      </c>
      <c r="J34" s="380" t="str">
        <f t="shared" si="5"/>
        <v/>
      </c>
      <c r="K34" s="815" t="str">
        <f t="shared" si="6"/>
        <v/>
      </c>
      <c r="L34" s="817" t="str">
        <f t="shared" si="3"/>
        <v/>
      </c>
      <c r="M34" s="380" t="str">
        <f t="shared" si="0"/>
        <v/>
      </c>
      <c r="N34" s="402" t="str">
        <f t="shared" si="1"/>
        <v/>
      </c>
      <c r="O34" s="162"/>
      <c r="P34" s="162"/>
      <c r="Q34" s="162"/>
      <c r="R34" s="162"/>
      <c r="S34" s="162"/>
      <c r="T34" s="162"/>
      <c r="U34" s="162"/>
      <c r="V34" s="162"/>
      <c r="W34" s="162"/>
      <c r="X34" s="162"/>
      <c r="Y34" s="162"/>
      <c r="Z34" s="162"/>
      <c r="AA34" s="162"/>
      <c r="AB34" s="162"/>
      <c r="AC34" s="162"/>
      <c r="AD34" s="162"/>
      <c r="AE34" s="162"/>
      <c r="AF34" s="162"/>
    </row>
    <row r="35" spans="1:32">
      <c r="A35" s="65"/>
      <c r="B35" s="29"/>
      <c r="C35" s="73"/>
      <c r="D35" s="29"/>
      <c r="E35" s="790"/>
      <c r="F35" s="812" t="s">
        <v>807</v>
      </c>
      <c r="G35" s="610" t="s">
        <v>807</v>
      </c>
      <c r="H35" s="610" t="s">
        <v>807</v>
      </c>
      <c r="I35" s="380" t="str">
        <f t="shared" si="4"/>
        <v/>
      </c>
      <c r="J35" s="380" t="str">
        <f t="shared" si="5"/>
        <v/>
      </c>
      <c r="K35" s="815" t="str">
        <f t="shared" si="6"/>
        <v/>
      </c>
      <c r="L35" s="817" t="str">
        <f t="shared" si="3"/>
        <v/>
      </c>
      <c r="M35" s="380" t="str">
        <f t="shared" si="0"/>
        <v/>
      </c>
      <c r="N35" s="402" t="str">
        <f t="shared" si="1"/>
        <v/>
      </c>
      <c r="O35" s="162"/>
      <c r="P35" s="162"/>
      <c r="Q35" s="162"/>
      <c r="R35" s="162"/>
      <c r="S35" s="162"/>
      <c r="T35" s="162"/>
      <c r="U35" s="162"/>
      <c r="V35" s="162"/>
      <c r="W35" s="162"/>
      <c r="X35" s="162"/>
      <c r="Y35" s="162"/>
      <c r="Z35" s="162"/>
      <c r="AA35" s="162"/>
      <c r="AB35" s="162"/>
      <c r="AC35" s="162"/>
      <c r="AD35" s="162"/>
      <c r="AE35" s="162"/>
      <c r="AF35" s="162"/>
    </row>
    <row r="36" spans="1:32">
      <c r="A36" s="65"/>
      <c r="B36" s="29"/>
      <c r="C36" s="73"/>
      <c r="D36" s="29"/>
      <c r="E36" s="790"/>
      <c r="F36" s="812" t="s">
        <v>807</v>
      </c>
      <c r="G36" s="610" t="s">
        <v>807</v>
      </c>
      <c r="H36" s="610" t="s">
        <v>807</v>
      </c>
      <c r="I36" s="380" t="str">
        <f t="shared" si="4"/>
        <v/>
      </c>
      <c r="J36" s="380" t="str">
        <f t="shared" si="5"/>
        <v/>
      </c>
      <c r="K36" s="815" t="str">
        <f t="shared" si="6"/>
        <v/>
      </c>
      <c r="L36" s="817" t="str">
        <f t="shared" si="3"/>
        <v/>
      </c>
      <c r="M36" s="380" t="str">
        <f t="shared" si="0"/>
        <v/>
      </c>
      <c r="N36" s="402" t="str">
        <f t="shared" si="1"/>
        <v/>
      </c>
      <c r="O36" s="162"/>
      <c r="P36" s="162"/>
      <c r="Q36" s="162"/>
      <c r="R36" s="162"/>
      <c r="S36" s="162"/>
      <c r="T36" s="162"/>
      <c r="U36" s="162"/>
      <c r="V36" s="162"/>
      <c r="W36" s="162"/>
      <c r="X36" s="162"/>
      <c r="Y36" s="162"/>
      <c r="Z36" s="162"/>
      <c r="AA36" s="162"/>
      <c r="AB36" s="162"/>
      <c r="AC36" s="162"/>
      <c r="AD36" s="162"/>
      <c r="AE36" s="162"/>
      <c r="AF36" s="162"/>
    </row>
    <row r="37" spans="1:32">
      <c r="A37" s="65"/>
      <c r="B37" s="29"/>
      <c r="C37" s="73"/>
      <c r="D37" s="29"/>
      <c r="E37" s="790"/>
      <c r="F37" s="812" t="s">
        <v>807</v>
      </c>
      <c r="G37" s="610" t="s">
        <v>807</v>
      </c>
      <c r="H37" s="610" t="s">
        <v>807</v>
      </c>
      <c r="I37" s="380" t="str">
        <f t="shared" si="4"/>
        <v/>
      </c>
      <c r="J37" s="380" t="str">
        <f t="shared" si="5"/>
        <v/>
      </c>
      <c r="K37" s="815" t="str">
        <f t="shared" si="6"/>
        <v/>
      </c>
      <c r="L37" s="817" t="str">
        <f t="shared" si="3"/>
        <v/>
      </c>
      <c r="M37" s="380" t="str">
        <f t="shared" si="0"/>
        <v/>
      </c>
      <c r="N37" s="402" t="str">
        <f t="shared" si="1"/>
        <v/>
      </c>
      <c r="O37" s="162"/>
      <c r="P37" s="162"/>
      <c r="Q37" s="162"/>
      <c r="R37" s="162"/>
      <c r="S37" s="162"/>
      <c r="T37" s="162"/>
      <c r="U37" s="162"/>
      <c r="V37" s="162"/>
      <c r="W37" s="162"/>
      <c r="X37" s="162"/>
      <c r="Y37" s="162"/>
      <c r="Z37" s="162"/>
      <c r="AA37" s="162"/>
      <c r="AB37" s="162"/>
      <c r="AC37" s="162"/>
      <c r="AD37" s="162"/>
      <c r="AE37" s="162"/>
      <c r="AF37" s="162"/>
    </row>
    <row r="38" spans="1:32">
      <c r="A38" s="65"/>
      <c r="B38" s="29"/>
      <c r="C38" s="73"/>
      <c r="D38" s="29"/>
      <c r="E38" s="790"/>
      <c r="F38" s="812" t="s">
        <v>807</v>
      </c>
      <c r="G38" s="610" t="s">
        <v>807</v>
      </c>
      <c r="H38" s="610" t="s">
        <v>807</v>
      </c>
      <c r="I38" s="380" t="str">
        <f t="shared" si="4"/>
        <v/>
      </c>
      <c r="J38" s="380" t="str">
        <f t="shared" si="5"/>
        <v/>
      </c>
      <c r="K38" s="815" t="str">
        <f t="shared" si="6"/>
        <v/>
      </c>
      <c r="L38" s="817" t="str">
        <f t="shared" si="3"/>
        <v/>
      </c>
      <c r="M38" s="380" t="str">
        <f t="shared" si="0"/>
        <v/>
      </c>
      <c r="N38" s="402" t="str">
        <f t="shared" si="1"/>
        <v/>
      </c>
      <c r="O38" s="162"/>
      <c r="P38" s="162"/>
      <c r="Q38" s="162"/>
      <c r="R38" s="162"/>
      <c r="S38" s="162"/>
      <c r="T38" s="162"/>
      <c r="U38" s="162"/>
      <c r="V38" s="162"/>
      <c r="W38" s="162"/>
      <c r="X38" s="162"/>
      <c r="Y38" s="162"/>
      <c r="Z38" s="162"/>
      <c r="AA38" s="162"/>
      <c r="AB38" s="162"/>
      <c r="AC38" s="162"/>
      <c r="AD38" s="162"/>
      <c r="AE38" s="162"/>
      <c r="AF38" s="162"/>
    </row>
    <row r="39" spans="1:32">
      <c r="A39" s="65"/>
      <c r="B39" s="29"/>
      <c r="C39" s="73"/>
      <c r="D39" s="29"/>
      <c r="E39" s="790"/>
      <c r="F39" s="812" t="s">
        <v>807</v>
      </c>
      <c r="G39" s="610" t="s">
        <v>807</v>
      </c>
      <c r="H39" s="610" t="s">
        <v>807</v>
      </c>
      <c r="I39" s="380" t="str">
        <f t="shared" si="4"/>
        <v/>
      </c>
      <c r="J39" s="380" t="str">
        <f t="shared" si="5"/>
        <v/>
      </c>
      <c r="K39" s="815" t="str">
        <f t="shared" si="6"/>
        <v/>
      </c>
      <c r="L39" s="817" t="str">
        <f t="shared" si="3"/>
        <v/>
      </c>
      <c r="M39" s="380" t="str">
        <f t="shared" si="0"/>
        <v/>
      </c>
      <c r="N39" s="402" t="str">
        <f t="shared" si="1"/>
        <v/>
      </c>
      <c r="O39" s="162"/>
      <c r="P39" s="162"/>
      <c r="Q39" s="162"/>
      <c r="R39" s="162"/>
      <c r="S39" s="162"/>
      <c r="T39" s="162"/>
      <c r="U39" s="162"/>
      <c r="V39" s="162"/>
      <c r="W39" s="162"/>
      <c r="X39" s="162"/>
      <c r="Y39" s="162"/>
      <c r="Z39" s="162"/>
      <c r="AA39" s="162"/>
      <c r="AB39" s="162"/>
      <c r="AC39" s="162"/>
      <c r="AD39" s="162"/>
      <c r="AE39" s="162"/>
      <c r="AF39" s="162"/>
    </row>
    <row r="40" spans="1:32">
      <c r="A40" s="65"/>
      <c r="B40" s="29"/>
      <c r="C40" s="73"/>
      <c r="D40" s="29"/>
      <c r="E40" s="790"/>
      <c r="F40" s="812" t="s">
        <v>807</v>
      </c>
      <c r="G40" s="610" t="s">
        <v>807</v>
      </c>
      <c r="H40" s="610" t="s">
        <v>807</v>
      </c>
      <c r="I40" s="380" t="str">
        <f t="shared" si="4"/>
        <v/>
      </c>
      <c r="J40" s="380" t="str">
        <f t="shared" si="5"/>
        <v/>
      </c>
      <c r="K40" s="815" t="str">
        <f t="shared" si="6"/>
        <v/>
      </c>
      <c r="L40" s="817" t="str">
        <f t="shared" si="3"/>
        <v/>
      </c>
      <c r="M40" s="380" t="str">
        <f t="shared" si="0"/>
        <v/>
      </c>
      <c r="N40" s="402" t="str">
        <f t="shared" si="1"/>
        <v/>
      </c>
      <c r="O40" s="162"/>
      <c r="P40" s="162"/>
      <c r="Q40" s="162"/>
      <c r="R40" s="162"/>
      <c r="S40" s="162"/>
      <c r="T40" s="162"/>
      <c r="U40" s="162"/>
      <c r="V40" s="162"/>
      <c r="W40" s="162"/>
      <c r="X40" s="162"/>
      <c r="Y40" s="162"/>
      <c r="Z40" s="162"/>
      <c r="AA40" s="162"/>
      <c r="AB40" s="162"/>
      <c r="AC40" s="162"/>
      <c r="AD40" s="162"/>
      <c r="AE40" s="162"/>
      <c r="AF40" s="162"/>
    </row>
    <row r="41" spans="1:32">
      <c r="A41" s="65"/>
      <c r="B41" s="29"/>
      <c r="C41" s="73"/>
      <c r="D41" s="29"/>
      <c r="E41" s="790"/>
      <c r="F41" s="812" t="s">
        <v>807</v>
      </c>
      <c r="G41" s="610" t="s">
        <v>807</v>
      </c>
      <c r="H41" s="610" t="s">
        <v>807</v>
      </c>
      <c r="I41" s="380" t="str">
        <f t="shared" si="4"/>
        <v/>
      </c>
      <c r="J41" s="380" t="str">
        <f t="shared" si="5"/>
        <v/>
      </c>
      <c r="K41" s="815" t="str">
        <f t="shared" si="6"/>
        <v/>
      </c>
      <c r="L41" s="817" t="str">
        <f t="shared" si="3"/>
        <v/>
      </c>
      <c r="M41" s="380" t="str">
        <f t="shared" si="0"/>
        <v/>
      </c>
      <c r="N41" s="402" t="str">
        <f t="shared" si="1"/>
        <v/>
      </c>
      <c r="O41" s="162"/>
      <c r="P41" s="162"/>
      <c r="Q41" s="162"/>
      <c r="R41" s="162"/>
      <c r="S41" s="162"/>
      <c r="T41" s="162"/>
      <c r="U41" s="162"/>
      <c r="V41" s="162"/>
      <c r="W41" s="162"/>
      <c r="X41" s="162"/>
      <c r="Y41" s="162"/>
      <c r="Z41" s="162"/>
      <c r="AA41" s="162"/>
      <c r="AB41" s="162"/>
      <c r="AC41" s="162"/>
      <c r="AD41" s="162"/>
      <c r="AE41" s="162"/>
      <c r="AF41" s="162"/>
    </row>
    <row r="42" spans="1:32">
      <c r="A42" s="65"/>
      <c r="B42" s="29"/>
      <c r="C42" s="73"/>
      <c r="D42" s="29"/>
      <c r="E42" s="790"/>
      <c r="F42" s="812" t="s">
        <v>807</v>
      </c>
      <c r="G42" s="610" t="s">
        <v>807</v>
      </c>
      <c r="H42" s="610" t="s">
        <v>807</v>
      </c>
      <c r="I42" s="380" t="str">
        <f t="shared" si="4"/>
        <v/>
      </c>
      <c r="J42" s="380" t="str">
        <f t="shared" si="5"/>
        <v/>
      </c>
      <c r="K42" s="815" t="str">
        <f t="shared" si="6"/>
        <v/>
      </c>
      <c r="L42" s="817" t="str">
        <f t="shared" si="3"/>
        <v/>
      </c>
      <c r="M42" s="380" t="str">
        <f t="shared" si="0"/>
        <v/>
      </c>
      <c r="N42" s="402" t="str">
        <f t="shared" si="1"/>
        <v/>
      </c>
      <c r="O42" s="162"/>
      <c r="P42" s="162"/>
      <c r="Q42" s="162"/>
      <c r="R42" s="162"/>
      <c r="S42" s="162"/>
      <c r="T42" s="162"/>
      <c r="U42" s="162"/>
      <c r="V42" s="162"/>
      <c r="W42" s="162"/>
      <c r="X42" s="162"/>
      <c r="Y42" s="162"/>
      <c r="Z42" s="162"/>
      <c r="AA42" s="162"/>
      <c r="AB42" s="162"/>
      <c r="AC42" s="162"/>
      <c r="AD42" s="162"/>
      <c r="AE42" s="162"/>
      <c r="AF42" s="162"/>
    </row>
    <row r="43" spans="1:32">
      <c r="A43" s="65"/>
      <c r="B43" s="29"/>
      <c r="C43" s="73"/>
      <c r="D43" s="29"/>
      <c r="E43" s="790"/>
      <c r="F43" s="812" t="s">
        <v>807</v>
      </c>
      <c r="G43" s="610" t="s">
        <v>807</v>
      </c>
      <c r="H43" s="610" t="s">
        <v>807</v>
      </c>
      <c r="I43" s="380" t="str">
        <f t="shared" si="4"/>
        <v/>
      </c>
      <c r="J43" s="380" t="str">
        <f t="shared" si="5"/>
        <v/>
      </c>
      <c r="K43" s="815" t="str">
        <f t="shared" si="6"/>
        <v/>
      </c>
      <c r="L43" s="817" t="str">
        <f t="shared" si="3"/>
        <v/>
      </c>
      <c r="M43" s="380" t="str">
        <f t="shared" si="0"/>
        <v/>
      </c>
      <c r="N43" s="402" t="str">
        <f t="shared" si="1"/>
        <v/>
      </c>
      <c r="O43" s="162"/>
      <c r="P43" s="162"/>
      <c r="Q43" s="162"/>
      <c r="R43" s="162"/>
      <c r="S43" s="162"/>
      <c r="T43" s="162"/>
      <c r="U43" s="162"/>
      <c r="V43" s="162"/>
      <c r="W43" s="162"/>
      <c r="X43" s="162"/>
      <c r="Y43" s="162"/>
      <c r="Z43" s="162"/>
      <c r="AA43" s="162"/>
      <c r="AB43" s="162"/>
      <c r="AC43" s="162"/>
      <c r="AD43" s="162"/>
      <c r="AE43" s="162"/>
      <c r="AF43" s="162"/>
    </row>
    <row r="44" spans="1:32">
      <c r="A44" s="65"/>
      <c r="B44" s="29"/>
      <c r="C44" s="73"/>
      <c r="D44" s="29"/>
      <c r="E44" s="790"/>
      <c r="F44" s="812" t="s">
        <v>807</v>
      </c>
      <c r="G44" s="610" t="s">
        <v>807</v>
      </c>
      <c r="H44" s="610" t="s">
        <v>807</v>
      </c>
      <c r="I44" s="380" t="str">
        <f t="shared" si="4"/>
        <v/>
      </c>
      <c r="J44" s="380" t="str">
        <f t="shared" si="5"/>
        <v/>
      </c>
      <c r="K44" s="815" t="str">
        <f t="shared" si="6"/>
        <v/>
      </c>
      <c r="L44" s="817" t="str">
        <f t="shared" si="3"/>
        <v/>
      </c>
      <c r="M44" s="380" t="str">
        <f t="shared" si="0"/>
        <v/>
      </c>
      <c r="N44" s="402" t="str">
        <f t="shared" si="1"/>
        <v/>
      </c>
      <c r="O44" s="162"/>
      <c r="P44" s="162"/>
      <c r="Q44" s="162"/>
      <c r="R44" s="162"/>
      <c r="S44" s="162"/>
      <c r="T44" s="162"/>
      <c r="U44" s="162"/>
      <c r="V44" s="162"/>
      <c r="W44" s="162"/>
      <c r="X44" s="162"/>
      <c r="Y44" s="162"/>
      <c r="Z44" s="162"/>
      <c r="AA44" s="162"/>
      <c r="AB44" s="162"/>
      <c r="AC44" s="162"/>
      <c r="AD44" s="162"/>
      <c r="AE44" s="162"/>
      <c r="AF44" s="162"/>
    </row>
    <row r="45" spans="1:32">
      <c r="A45" s="65"/>
      <c r="B45" s="29"/>
      <c r="C45" s="73"/>
      <c r="D45" s="29"/>
      <c r="E45" s="790"/>
      <c r="F45" s="812" t="s">
        <v>807</v>
      </c>
      <c r="G45" s="610" t="s">
        <v>807</v>
      </c>
      <c r="H45" s="610" t="s">
        <v>807</v>
      </c>
      <c r="I45" s="380" t="str">
        <f t="shared" si="4"/>
        <v/>
      </c>
      <c r="J45" s="380" t="str">
        <f t="shared" si="5"/>
        <v/>
      </c>
      <c r="K45" s="815" t="str">
        <f t="shared" si="6"/>
        <v/>
      </c>
      <c r="L45" s="817" t="str">
        <f t="shared" si="3"/>
        <v/>
      </c>
      <c r="M45" s="380" t="str">
        <f t="shared" si="0"/>
        <v/>
      </c>
      <c r="N45" s="402" t="str">
        <f t="shared" si="1"/>
        <v/>
      </c>
      <c r="O45" s="162"/>
      <c r="P45" s="162"/>
      <c r="Q45" s="162"/>
      <c r="R45" s="162"/>
      <c r="S45" s="162"/>
      <c r="T45" s="162"/>
      <c r="U45" s="162"/>
      <c r="V45" s="162"/>
      <c r="W45" s="162"/>
      <c r="X45" s="162"/>
      <c r="Y45" s="162"/>
      <c r="Z45" s="162"/>
      <c r="AA45" s="162"/>
      <c r="AB45" s="162"/>
      <c r="AC45" s="162"/>
      <c r="AD45" s="162"/>
      <c r="AE45" s="162"/>
      <c r="AF45" s="162"/>
    </row>
    <row r="46" spans="1:32">
      <c r="A46" s="65"/>
      <c r="B46" s="29"/>
      <c r="C46" s="73"/>
      <c r="D46" s="29"/>
      <c r="E46" s="790"/>
      <c r="F46" s="812" t="s">
        <v>807</v>
      </c>
      <c r="G46" s="610" t="s">
        <v>807</v>
      </c>
      <c r="H46" s="610" t="s">
        <v>807</v>
      </c>
      <c r="I46" s="380" t="str">
        <f t="shared" si="4"/>
        <v/>
      </c>
      <c r="J46" s="380" t="str">
        <f t="shared" si="5"/>
        <v/>
      </c>
      <c r="K46" s="815" t="str">
        <f t="shared" si="6"/>
        <v/>
      </c>
      <c r="L46" s="817" t="str">
        <f t="shared" si="3"/>
        <v/>
      </c>
      <c r="M46" s="380" t="str">
        <f t="shared" si="0"/>
        <v/>
      </c>
      <c r="N46" s="402" t="str">
        <f t="shared" si="1"/>
        <v/>
      </c>
      <c r="O46" s="162"/>
      <c r="P46" s="162"/>
      <c r="Q46" s="162"/>
      <c r="R46" s="162"/>
      <c r="S46" s="162"/>
      <c r="T46" s="162"/>
      <c r="U46" s="162"/>
      <c r="V46" s="162"/>
      <c r="W46" s="162"/>
      <c r="X46" s="162"/>
      <c r="Y46" s="162"/>
      <c r="Z46" s="162"/>
      <c r="AA46" s="162"/>
      <c r="AB46" s="162"/>
      <c r="AC46" s="162"/>
      <c r="AD46" s="162"/>
      <c r="AE46" s="162"/>
      <c r="AF46" s="162"/>
    </row>
    <row r="47" spans="1:32">
      <c r="A47" s="65"/>
      <c r="B47" s="29"/>
      <c r="C47" s="73"/>
      <c r="D47" s="29"/>
      <c r="E47" s="790"/>
      <c r="F47" s="812" t="s">
        <v>807</v>
      </c>
      <c r="G47" s="610" t="s">
        <v>807</v>
      </c>
      <c r="H47" s="610" t="s">
        <v>807</v>
      </c>
      <c r="I47" s="380" t="str">
        <f t="shared" si="4"/>
        <v/>
      </c>
      <c r="J47" s="380" t="str">
        <f t="shared" si="5"/>
        <v/>
      </c>
      <c r="K47" s="815" t="str">
        <f t="shared" si="6"/>
        <v/>
      </c>
      <c r="L47" s="817" t="str">
        <f t="shared" si="3"/>
        <v/>
      </c>
      <c r="M47" s="380" t="str">
        <f t="shared" si="0"/>
        <v/>
      </c>
      <c r="N47" s="402" t="str">
        <f t="shared" si="1"/>
        <v/>
      </c>
      <c r="O47" s="162"/>
      <c r="P47" s="162"/>
      <c r="Q47" s="162"/>
      <c r="R47" s="162"/>
      <c r="S47" s="162"/>
      <c r="T47" s="162"/>
      <c r="U47" s="162"/>
      <c r="V47" s="162"/>
      <c r="W47" s="162"/>
      <c r="X47" s="162"/>
      <c r="Y47" s="162"/>
      <c r="Z47" s="162"/>
      <c r="AA47" s="162"/>
      <c r="AB47" s="162"/>
      <c r="AC47" s="162"/>
      <c r="AD47" s="162"/>
      <c r="AE47" s="162"/>
      <c r="AF47" s="162"/>
    </row>
    <row r="48" spans="1:32">
      <c r="A48" s="65"/>
      <c r="B48" s="29"/>
      <c r="C48" s="73"/>
      <c r="D48" s="29"/>
      <c r="E48" s="790"/>
      <c r="F48" s="812" t="s">
        <v>807</v>
      </c>
      <c r="G48" s="610" t="s">
        <v>807</v>
      </c>
      <c r="H48" s="610" t="s">
        <v>807</v>
      </c>
      <c r="I48" s="380" t="str">
        <f t="shared" si="4"/>
        <v/>
      </c>
      <c r="J48" s="380" t="str">
        <f t="shared" si="5"/>
        <v/>
      </c>
      <c r="K48" s="815" t="str">
        <f t="shared" si="6"/>
        <v/>
      </c>
      <c r="L48" s="817" t="str">
        <f t="shared" si="3"/>
        <v/>
      </c>
      <c r="M48" s="380" t="str">
        <f t="shared" si="0"/>
        <v/>
      </c>
      <c r="N48" s="402" t="str">
        <f t="shared" si="1"/>
        <v/>
      </c>
      <c r="O48" s="162"/>
      <c r="P48" s="162"/>
      <c r="Q48" s="162"/>
      <c r="R48" s="162"/>
      <c r="S48" s="162"/>
      <c r="T48" s="162"/>
      <c r="U48" s="162"/>
      <c r="V48" s="162"/>
      <c r="W48" s="162"/>
      <c r="X48" s="162"/>
      <c r="Y48" s="162"/>
      <c r="Z48" s="162"/>
      <c r="AA48" s="162"/>
      <c r="AB48" s="162"/>
      <c r="AC48" s="162"/>
      <c r="AD48" s="162"/>
      <c r="AE48" s="162"/>
      <c r="AF48" s="162"/>
    </row>
    <row r="49" spans="1:32">
      <c r="A49" s="65"/>
      <c r="B49" s="29"/>
      <c r="C49" s="73"/>
      <c r="D49" s="29"/>
      <c r="E49" s="809"/>
      <c r="F49" s="812" t="s">
        <v>807</v>
      </c>
      <c r="G49" s="610" t="s">
        <v>807</v>
      </c>
      <c r="H49" s="610" t="s">
        <v>807</v>
      </c>
      <c r="I49" s="380" t="str">
        <f t="shared" si="4"/>
        <v/>
      </c>
      <c r="J49" s="380" t="str">
        <f t="shared" si="5"/>
        <v/>
      </c>
      <c r="K49" s="815" t="str">
        <f t="shared" si="6"/>
        <v/>
      </c>
      <c r="L49" s="817" t="str">
        <f t="shared" si="3"/>
        <v/>
      </c>
      <c r="M49" s="380" t="str">
        <f t="shared" si="0"/>
        <v/>
      </c>
      <c r="N49" s="402" t="str">
        <f t="shared" si="1"/>
        <v/>
      </c>
      <c r="O49" s="162"/>
      <c r="P49" s="162"/>
      <c r="Q49" s="162"/>
      <c r="R49" s="162"/>
      <c r="S49" s="162"/>
      <c r="T49" s="162"/>
      <c r="U49" s="162"/>
      <c r="V49" s="162"/>
      <c r="W49" s="162"/>
      <c r="X49" s="162"/>
      <c r="Y49" s="162"/>
      <c r="Z49" s="162"/>
      <c r="AA49" s="162"/>
      <c r="AB49" s="162"/>
      <c r="AC49" s="162"/>
      <c r="AD49" s="162"/>
      <c r="AE49" s="162"/>
      <c r="AF49" s="162"/>
    </row>
    <row r="50" spans="1:32">
      <c r="A50" s="65"/>
      <c r="B50" s="29"/>
      <c r="C50" s="73"/>
      <c r="D50" s="29"/>
      <c r="E50" s="809"/>
      <c r="F50" s="812" t="s">
        <v>807</v>
      </c>
      <c r="G50" s="610" t="s">
        <v>807</v>
      </c>
      <c r="H50" s="610" t="s">
        <v>807</v>
      </c>
      <c r="I50" s="380" t="str">
        <f t="shared" si="4"/>
        <v/>
      </c>
      <c r="J50" s="380" t="str">
        <f t="shared" si="5"/>
        <v/>
      </c>
      <c r="K50" s="815" t="str">
        <f t="shared" si="6"/>
        <v/>
      </c>
      <c r="L50" s="817" t="str">
        <f t="shared" si="3"/>
        <v/>
      </c>
      <c r="M50" s="380" t="str">
        <f t="shared" si="0"/>
        <v/>
      </c>
      <c r="N50" s="402" t="str">
        <f t="shared" si="1"/>
        <v/>
      </c>
      <c r="O50" s="162"/>
      <c r="P50" s="162"/>
      <c r="Q50" s="162"/>
      <c r="R50" s="162"/>
      <c r="S50" s="162"/>
      <c r="T50" s="162"/>
      <c r="U50" s="162"/>
      <c r="V50" s="162"/>
      <c r="W50" s="162"/>
      <c r="X50" s="162"/>
      <c r="Y50" s="162"/>
      <c r="Z50" s="162"/>
      <c r="AA50" s="162"/>
      <c r="AB50" s="162"/>
      <c r="AC50" s="162"/>
      <c r="AD50" s="162"/>
      <c r="AE50" s="162"/>
      <c r="AF50" s="162"/>
    </row>
    <row r="51" spans="1:32">
      <c r="A51" s="65"/>
      <c r="B51" s="29"/>
      <c r="C51" s="73"/>
      <c r="D51" s="29"/>
      <c r="E51" s="809"/>
      <c r="F51" s="812" t="s">
        <v>807</v>
      </c>
      <c r="G51" s="610" t="s">
        <v>807</v>
      </c>
      <c r="H51" s="610" t="s">
        <v>807</v>
      </c>
      <c r="I51" s="380" t="str">
        <f t="shared" si="4"/>
        <v/>
      </c>
      <c r="J51" s="380" t="str">
        <f t="shared" si="5"/>
        <v/>
      </c>
      <c r="K51" s="815" t="str">
        <f t="shared" si="6"/>
        <v/>
      </c>
      <c r="L51" s="817" t="str">
        <f t="shared" si="3"/>
        <v/>
      </c>
      <c r="M51" s="380" t="str">
        <f t="shared" si="0"/>
        <v/>
      </c>
      <c r="N51" s="402" t="str">
        <f t="shared" si="1"/>
        <v/>
      </c>
      <c r="O51" s="162"/>
      <c r="P51" s="162"/>
      <c r="Q51" s="162"/>
      <c r="R51" s="162"/>
      <c r="S51" s="162"/>
      <c r="T51" s="162"/>
      <c r="U51" s="162"/>
      <c r="V51" s="162"/>
      <c r="W51" s="162"/>
      <c r="X51" s="162"/>
      <c r="Y51" s="162"/>
      <c r="Z51" s="162"/>
      <c r="AA51" s="162"/>
      <c r="AB51" s="162"/>
      <c r="AC51" s="162"/>
      <c r="AD51" s="162"/>
      <c r="AE51" s="162"/>
      <c r="AF51" s="162"/>
    </row>
    <row r="52" spans="1:32">
      <c r="A52" s="65"/>
      <c r="B52" s="29"/>
      <c r="C52" s="73"/>
      <c r="D52" s="29"/>
      <c r="E52" s="809"/>
      <c r="F52" s="812" t="s">
        <v>807</v>
      </c>
      <c r="G52" s="610" t="s">
        <v>807</v>
      </c>
      <c r="H52" s="610" t="s">
        <v>807</v>
      </c>
      <c r="I52" s="380" t="str">
        <f t="shared" si="4"/>
        <v/>
      </c>
      <c r="J52" s="380" t="str">
        <f t="shared" si="5"/>
        <v/>
      </c>
      <c r="K52" s="815" t="str">
        <f t="shared" si="6"/>
        <v/>
      </c>
      <c r="L52" s="817" t="str">
        <f t="shared" si="3"/>
        <v/>
      </c>
      <c r="M52" s="380" t="str">
        <f t="shared" si="0"/>
        <v/>
      </c>
      <c r="N52" s="402" t="str">
        <f t="shared" si="1"/>
        <v/>
      </c>
      <c r="O52" s="162"/>
      <c r="P52" s="162"/>
      <c r="Q52" s="162"/>
      <c r="R52" s="162"/>
      <c r="S52" s="162"/>
      <c r="T52" s="162"/>
      <c r="U52" s="162"/>
      <c r="V52" s="162"/>
      <c r="W52" s="162"/>
      <c r="X52" s="162"/>
      <c r="Y52" s="162"/>
      <c r="Z52" s="162"/>
      <c r="AA52" s="162"/>
      <c r="AB52" s="162"/>
      <c r="AC52" s="162"/>
      <c r="AD52" s="162"/>
      <c r="AE52" s="162"/>
      <c r="AF52" s="162"/>
    </row>
    <row r="53" spans="1:32">
      <c r="A53" s="65"/>
      <c r="B53" s="29"/>
      <c r="C53" s="73"/>
      <c r="D53" s="29"/>
      <c r="E53" s="809"/>
      <c r="F53" s="812" t="s">
        <v>807</v>
      </c>
      <c r="G53" s="610" t="s">
        <v>807</v>
      </c>
      <c r="H53" s="610" t="s">
        <v>807</v>
      </c>
      <c r="I53" s="380" t="str">
        <f t="shared" si="4"/>
        <v/>
      </c>
      <c r="J53" s="380" t="str">
        <f t="shared" si="5"/>
        <v/>
      </c>
      <c r="K53" s="815" t="str">
        <f t="shared" si="6"/>
        <v/>
      </c>
      <c r="L53" s="817" t="str">
        <f t="shared" si="3"/>
        <v/>
      </c>
      <c r="M53" s="380" t="str">
        <f t="shared" si="0"/>
        <v/>
      </c>
      <c r="N53" s="402" t="str">
        <f t="shared" si="1"/>
        <v/>
      </c>
      <c r="O53" s="162"/>
      <c r="P53" s="162"/>
      <c r="Q53" s="162"/>
      <c r="R53" s="162"/>
      <c r="S53" s="162"/>
      <c r="T53" s="162"/>
      <c r="U53" s="162"/>
      <c r="V53" s="162"/>
      <c r="W53" s="162"/>
      <c r="X53" s="162"/>
      <c r="Y53" s="162"/>
      <c r="Z53" s="162"/>
      <c r="AA53" s="162"/>
      <c r="AB53" s="162"/>
      <c r="AC53" s="162"/>
      <c r="AD53" s="162"/>
      <c r="AE53" s="162"/>
      <c r="AF53" s="162"/>
    </row>
    <row r="54" spans="1:32">
      <c r="A54" s="65"/>
      <c r="B54" s="29"/>
      <c r="C54" s="73"/>
      <c r="D54" s="29"/>
      <c r="E54" s="809"/>
      <c r="F54" s="812" t="s">
        <v>807</v>
      </c>
      <c r="G54" s="610" t="s">
        <v>807</v>
      </c>
      <c r="H54" s="610" t="s">
        <v>807</v>
      </c>
      <c r="I54" s="380" t="str">
        <f t="shared" si="4"/>
        <v/>
      </c>
      <c r="J54" s="380" t="str">
        <f t="shared" si="5"/>
        <v/>
      </c>
      <c r="K54" s="815" t="str">
        <f t="shared" si="6"/>
        <v/>
      </c>
      <c r="L54" s="817" t="str">
        <f t="shared" si="3"/>
        <v/>
      </c>
      <c r="M54" s="380" t="str">
        <f t="shared" si="0"/>
        <v/>
      </c>
      <c r="N54" s="402" t="str">
        <f t="shared" si="1"/>
        <v/>
      </c>
      <c r="O54" s="162"/>
      <c r="P54" s="162"/>
      <c r="Q54" s="162"/>
      <c r="R54" s="162"/>
      <c r="S54" s="162"/>
      <c r="T54" s="162"/>
      <c r="U54" s="162"/>
      <c r="V54" s="162"/>
      <c r="W54" s="162"/>
      <c r="X54" s="162"/>
      <c r="Y54" s="162"/>
      <c r="Z54" s="162"/>
      <c r="AA54" s="162"/>
      <c r="AB54" s="162"/>
      <c r="AC54" s="162"/>
      <c r="AD54" s="162"/>
      <c r="AE54" s="162"/>
      <c r="AF54" s="162"/>
    </row>
    <row r="55" spans="1:32">
      <c r="A55" s="65"/>
      <c r="B55" s="29"/>
      <c r="C55" s="73"/>
      <c r="D55" s="29"/>
      <c r="E55" s="809"/>
      <c r="F55" s="812" t="s">
        <v>807</v>
      </c>
      <c r="G55" s="610" t="s">
        <v>807</v>
      </c>
      <c r="H55" s="610" t="s">
        <v>807</v>
      </c>
      <c r="I55" s="380" t="str">
        <f t="shared" si="4"/>
        <v/>
      </c>
      <c r="J55" s="380" t="str">
        <f t="shared" si="5"/>
        <v/>
      </c>
      <c r="K55" s="815" t="str">
        <f t="shared" si="6"/>
        <v/>
      </c>
      <c r="L55" s="817" t="str">
        <f t="shared" si="3"/>
        <v/>
      </c>
      <c r="M55" s="380" t="str">
        <f t="shared" si="0"/>
        <v/>
      </c>
      <c r="N55" s="402" t="str">
        <f t="shared" si="1"/>
        <v/>
      </c>
      <c r="O55" s="162"/>
      <c r="P55" s="162"/>
      <c r="Q55" s="162"/>
      <c r="R55" s="162"/>
      <c r="S55" s="162"/>
      <c r="T55" s="162"/>
      <c r="U55" s="162"/>
      <c r="V55" s="162"/>
      <c r="W55" s="162"/>
      <c r="X55" s="162"/>
      <c r="Y55" s="162"/>
      <c r="Z55" s="162"/>
      <c r="AA55" s="162"/>
      <c r="AB55" s="162"/>
      <c r="AC55" s="162"/>
      <c r="AD55" s="162"/>
      <c r="AE55" s="162"/>
      <c r="AF55" s="162"/>
    </row>
    <row r="56" spans="1:32">
      <c r="A56" s="65"/>
      <c r="B56" s="29"/>
      <c r="C56" s="73"/>
      <c r="D56" s="29"/>
      <c r="E56" s="809"/>
      <c r="F56" s="812" t="s">
        <v>807</v>
      </c>
      <c r="G56" s="610" t="s">
        <v>807</v>
      </c>
      <c r="H56" s="610" t="s">
        <v>807</v>
      </c>
      <c r="I56" s="380" t="str">
        <f t="shared" si="4"/>
        <v/>
      </c>
      <c r="J56" s="380" t="str">
        <f t="shared" si="5"/>
        <v/>
      </c>
      <c r="K56" s="815" t="str">
        <f t="shared" si="6"/>
        <v/>
      </c>
      <c r="L56" s="817" t="str">
        <f t="shared" si="3"/>
        <v/>
      </c>
      <c r="M56" s="380" t="str">
        <f t="shared" si="0"/>
        <v/>
      </c>
      <c r="N56" s="402" t="str">
        <f t="shared" si="1"/>
        <v/>
      </c>
      <c r="O56" s="162"/>
      <c r="P56" s="162"/>
      <c r="Q56" s="162"/>
      <c r="R56" s="162"/>
      <c r="S56" s="162"/>
      <c r="T56" s="162"/>
      <c r="U56" s="162"/>
      <c r="V56" s="162"/>
      <c r="W56" s="162"/>
      <c r="X56" s="162"/>
      <c r="Y56" s="162"/>
      <c r="Z56" s="162"/>
      <c r="AA56" s="162"/>
      <c r="AB56" s="162"/>
      <c r="AC56" s="162"/>
      <c r="AD56" s="162"/>
      <c r="AE56" s="162"/>
      <c r="AF56" s="162"/>
    </row>
    <row r="57" spans="1:32" ht="13.5" thickBot="1">
      <c r="A57" s="382"/>
      <c r="B57" s="383"/>
      <c r="C57" s="381"/>
      <c r="D57" s="383"/>
      <c r="E57" s="809"/>
      <c r="F57" s="813" t="s">
        <v>807</v>
      </c>
      <c r="G57" s="611" t="s">
        <v>807</v>
      </c>
      <c r="H57" s="611" t="s">
        <v>807</v>
      </c>
      <c r="I57" s="380" t="str">
        <f t="shared" si="4"/>
        <v/>
      </c>
      <c r="J57" s="380" t="str">
        <f t="shared" si="5"/>
        <v/>
      </c>
      <c r="K57" s="815" t="str">
        <f t="shared" si="6"/>
        <v/>
      </c>
      <c r="L57" s="818" t="str">
        <f t="shared" si="3"/>
        <v/>
      </c>
      <c r="M57" s="819" t="str">
        <f t="shared" si="0"/>
        <v/>
      </c>
      <c r="N57" s="820" t="str">
        <f t="shared" si="1"/>
        <v/>
      </c>
      <c r="O57" s="162"/>
      <c r="P57" s="162"/>
      <c r="Q57" s="162"/>
      <c r="R57" s="162"/>
      <c r="S57" s="162"/>
      <c r="T57" s="162"/>
      <c r="U57" s="162"/>
      <c r="V57" s="162"/>
      <c r="W57" s="162"/>
      <c r="X57" s="162"/>
      <c r="Y57" s="162"/>
      <c r="Z57" s="162"/>
      <c r="AA57" s="162"/>
      <c r="AB57" s="162"/>
      <c r="AC57" s="162"/>
      <c r="AD57" s="162"/>
      <c r="AE57" s="162"/>
      <c r="AF57" s="162"/>
    </row>
    <row r="58" spans="1:32" ht="13.5" thickBot="1">
      <c r="A58" s="37" t="s">
        <v>76</v>
      </c>
      <c r="B58" s="38"/>
      <c r="C58" s="38"/>
      <c r="D58" s="38"/>
      <c r="E58" s="558">
        <f>SUM($E$21:$E$57)</f>
        <v>150000</v>
      </c>
      <c r="F58" s="559"/>
      <c r="G58" s="133"/>
      <c r="H58" s="560"/>
      <c r="I58" s="569">
        <f>SUM($I$21:$I$57)</f>
        <v>170160</v>
      </c>
      <c r="J58" s="570">
        <f>SUM($J$21:$J$57)</f>
        <v>20.25</v>
      </c>
      <c r="K58" s="571">
        <f>SUM($K$21:$K$57)</f>
        <v>3.15</v>
      </c>
      <c r="L58" s="572">
        <f>SUM($L$21:$L$57)</f>
        <v>170160</v>
      </c>
      <c r="M58" s="572">
        <f>SUM($M$21:$M$57)</f>
        <v>20.25</v>
      </c>
      <c r="N58" s="573">
        <f>SUM($N$21:$N$57)</f>
        <v>3.15</v>
      </c>
      <c r="O58" s="162"/>
      <c r="P58" s="162"/>
      <c r="Q58" s="162"/>
      <c r="R58" s="162"/>
      <c r="S58" s="162"/>
      <c r="T58" s="162"/>
      <c r="U58" s="162"/>
      <c r="V58" s="162"/>
      <c r="W58" s="162"/>
      <c r="X58" s="162"/>
      <c r="Y58" s="162"/>
      <c r="Z58" s="162"/>
      <c r="AA58" s="162"/>
      <c r="AB58" s="162"/>
      <c r="AC58" s="162"/>
      <c r="AD58" s="162"/>
      <c r="AE58" s="162"/>
      <c r="AF58" s="162"/>
    </row>
    <row r="59" spans="1:32">
      <c r="A59" s="4"/>
      <c r="B59" s="4"/>
      <c r="C59" s="4"/>
      <c r="D59" s="4"/>
      <c r="E59" s="162"/>
      <c r="F59" s="162"/>
      <c r="G59" s="162"/>
      <c r="H59" s="162"/>
      <c r="I59" s="4"/>
      <c r="J59" s="4"/>
      <c r="K59" s="162"/>
      <c r="L59" s="4"/>
      <c r="M59" s="4"/>
      <c r="N59" s="162"/>
      <c r="O59" s="162"/>
      <c r="P59" s="162"/>
      <c r="Q59" s="162"/>
      <c r="R59" s="162"/>
      <c r="S59" s="162"/>
      <c r="T59" s="162"/>
      <c r="U59" s="162"/>
      <c r="V59" s="162"/>
      <c r="W59" s="162"/>
      <c r="X59" s="162"/>
      <c r="Y59" s="162"/>
      <c r="Z59" s="162"/>
      <c r="AA59" s="162"/>
      <c r="AB59" s="162"/>
      <c r="AC59" s="162"/>
      <c r="AD59" s="162"/>
      <c r="AE59" s="162"/>
    </row>
    <row r="60" spans="1:32">
      <c r="A60" s="251" t="s">
        <v>316</v>
      </c>
      <c r="B60" s="221"/>
      <c r="C60" s="221"/>
      <c r="D60" s="221"/>
      <c r="E60" s="221"/>
      <c r="F60" s="221"/>
      <c r="G60" s="221"/>
      <c r="H60" s="221"/>
      <c r="I60" s="221"/>
      <c r="J60" s="221"/>
      <c r="K60" s="221"/>
      <c r="L60" s="221"/>
      <c r="M60" s="221"/>
      <c r="N60" s="221"/>
      <c r="O60" s="162"/>
      <c r="P60" s="162"/>
      <c r="Q60" s="162"/>
      <c r="R60" s="162"/>
      <c r="S60" s="162"/>
      <c r="T60" s="162"/>
      <c r="U60" s="162"/>
      <c r="V60" s="162"/>
      <c r="W60" s="162"/>
      <c r="X60" s="162"/>
      <c r="Y60" s="162"/>
      <c r="Z60" s="162"/>
      <c r="AA60" s="162"/>
      <c r="AB60" s="162"/>
      <c r="AC60" s="162"/>
      <c r="AD60" s="162"/>
      <c r="AE60" s="162"/>
    </row>
    <row r="61" spans="1:32" ht="13.5" thickBot="1">
      <c r="B61" s="4"/>
      <c r="C61" s="4"/>
      <c r="D61" s="4"/>
      <c r="E61" s="4"/>
      <c r="F61" s="162"/>
      <c r="G61" s="162"/>
      <c r="H61" s="162"/>
      <c r="I61" s="4"/>
      <c r="J61" s="4"/>
      <c r="K61" s="162"/>
      <c r="L61" s="4"/>
      <c r="M61" s="4"/>
      <c r="N61" s="162"/>
      <c r="O61" s="162"/>
      <c r="P61" s="162"/>
      <c r="Q61" s="162"/>
      <c r="R61" s="162"/>
      <c r="S61" s="162"/>
      <c r="T61" s="162"/>
      <c r="U61" s="162"/>
      <c r="V61" s="162"/>
      <c r="W61" s="162"/>
      <c r="X61" s="162"/>
      <c r="Y61" s="162"/>
      <c r="Z61" s="162"/>
      <c r="AA61" s="162"/>
      <c r="AB61" s="162"/>
      <c r="AC61" s="162"/>
      <c r="AD61" s="162"/>
      <c r="AE61" s="162"/>
    </row>
    <row r="62" spans="1:32" ht="15" customHeight="1" thickBot="1">
      <c r="A62" s="564" t="s">
        <v>810</v>
      </c>
      <c r="B62" s="565"/>
      <c r="C62" s="565"/>
      <c r="D62" s="565"/>
      <c r="E62" s="566"/>
      <c r="F62" s="162"/>
      <c r="G62" s="162"/>
      <c r="H62" s="162"/>
      <c r="I62" s="8"/>
      <c r="J62" s="4"/>
      <c r="K62" s="162"/>
      <c r="L62" s="8"/>
      <c r="M62" s="4"/>
      <c r="N62" s="162"/>
      <c r="O62" s="162"/>
      <c r="P62" s="162"/>
      <c r="Q62" s="162"/>
      <c r="R62" s="162"/>
      <c r="S62" s="162"/>
      <c r="T62" s="162"/>
      <c r="U62" s="162"/>
      <c r="V62" s="162"/>
      <c r="W62" s="162"/>
      <c r="X62" s="162"/>
      <c r="Y62" s="162"/>
      <c r="Z62" s="162"/>
      <c r="AA62" s="162"/>
      <c r="AB62" s="162"/>
      <c r="AC62" s="162"/>
      <c r="AD62" s="162"/>
      <c r="AE62" s="162"/>
    </row>
    <row r="63" spans="1:32" ht="13.5" thickTop="1">
      <c r="A63" s="567" t="s">
        <v>811</v>
      </c>
      <c r="B63" s="562"/>
      <c r="C63" s="562"/>
      <c r="D63" s="562"/>
      <c r="E63" s="575">
        <f>($L$58+$M$58*CH4_GWP+$N$58*N2O_GWP)*kg_per_lb/1000</f>
        <v>77.840005320000017</v>
      </c>
      <c r="F63" s="162"/>
      <c r="G63" s="162"/>
      <c r="H63" s="162"/>
      <c r="I63" s="481"/>
      <c r="J63" s="4"/>
      <c r="K63" s="162"/>
      <c r="L63" s="481"/>
      <c r="M63" s="4"/>
      <c r="N63" s="162"/>
      <c r="O63" s="162"/>
      <c r="P63" s="162"/>
      <c r="Q63" s="162"/>
      <c r="R63" s="162"/>
      <c r="S63" s="162"/>
      <c r="T63" s="162"/>
      <c r="U63" s="162"/>
      <c r="V63" s="162"/>
      <c r="W63" s="162"/>
      <c r="X63" s="162"/>
      <c r="Y63" s="162"/>
      <c r="Z63" s="162"/>
      <c r="AA63" s="162"/>
      <c r="AB63" s="162"/>
      <c r="AC63" s="162"/>
      <c r="AD63" s="162"/>
      <c r="AE63" s="162"/>
    </row>
    <row r="64" spans="1:32" ht="13.5" thickBot="1">
      <c r="A64" s="568" t="s">
        <v>812</v>
      </c>
      <c r="B64" s="563"/>
      <c r="C64" s="563"/>
      <c r="D64" s="563"/>
      <c r="E64" s="576">
        <f>($I$58+$J$58*CH4_GWP+$K$58*N2O_GWP)*kg_per_lb/1000</f>
        <v>77.840005320000017</v>
      </c>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row>
    <row r="65" spans="1:31">
      <c r="A65" s="162"/>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row>
    <row r="66" spans="1:31">
      <c r="A66" s="834" t="s">
        <v>129</v>
      </c>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row>
    <row r="67" spans="1:31">
      <c r="A67" s="834" t="s">
        <v>1188</v>
      </c>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row>
    <row r="68" spans="1:31">
      <c r="A68" s="863" t="s">
        <v>813</v>
      </c>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row>
    <row r="69" spans="1:31">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row>
    <row r="70" spans="1:31">
      <c r="B70" s="864"/>
      <c r="C70" s="124"/>
      <c r="D70" s="124"/>
      <c r="E70" s="124"/>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row>
    <row r="71" spans="1:31">
      <c r="A71" s="742" t="s">
        <v>1312</v>
      </c>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row>
    <row r="72" spans="1:31">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row>
    <row r="73" spans="1:31">
      <c r="A73" s="162"/>
      <c r="B73" s="16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row>
    <row r="74" spans="1:31">
      <c r="A74" s="162"/>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row>
    <row r="75" spans="1:31">
      <c r="A75" s="162"/>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row>
    <row r="76" spans="1:31">
      <c r="A76" s="162"/>
      <c r="B76" s="16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row>
    <row r="77" spans="1:31">
      <c r="A77" s="162"/>
      <c r="B77" s="16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row>
    <row r="78" spans="1:31">
      <c r="A78" s="162"/>
      <c r="B78" s="16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row>
    <row r="79" spans="1:31">
      <c r="A79" s="162"/>
      <c r="B79" s="16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row>
    <row r="80" spans="1:31">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row>
    <row r="81" spans="1:31">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row>
    <row r="82" spans="1:31">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row>
    <row r="83" spans="1:31">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row>
    <row r="84" spans="1:31">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row>
    <row r="85" spans="1:31">
      <c r="A85" s="162"/>
      <c r="B85" s="16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row>
    <row r="86" spans="1:31">
      <c r="A86" s="162"/>
      <c r="B86" s="16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row>
    <row r="87" spans="1:31">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row>
    <row r="88" spans="1:31">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row>
    <row r="89" spans="1:31">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row>
    <row r="90" spans="1:31">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row>
    <row r="91" spans="1:31">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row>
    <row r="92" spans="1:31">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row>
    <row r="93" spans="1:31">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row>
    <row r="94" spans="1:31">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row>
    <row r="95" spans="1:31">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row>
    <row r="96" spans="1:31">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row>
    <row r="97" spans="1:31">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row>
    <row r="98" spans="1:31">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row>
    <row r="99" spans="1:31">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row>
    <row r="100" spans="1:31">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row>
    <row r="101" spans="1:31">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row>
    <row r="102" spans="1:31">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row>
    <row r="103" spans="1:31">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row>
    <row r="104" spans="1:31">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row>
    <row r="105" spans="1:31">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row>
    <row r="106" spans="1:31">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row>
    <row r="107" spans="1:31">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row>
    <row r="108" spans="1:31">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row>
    <row r="109" spans="1:31">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row>
    <row r="110" spans="1:31">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row>
    <row r="111" spans="1:31">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row>
    <row r="112" spans="1:31">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row>
    <row r="113" spans="1:31">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row>
    <row r="114" spans="1:31">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row>
    <row r="115" spans="1:31">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row>
    <row r="116" spans="1:31">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row>
    <row r="117" spans="1:31">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row>
    <row r="118" spans="1:31">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row>
    <row r="119" spans="1:31">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row>
    <row r="120" spans="1:31">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row>
    <row r="121" spans="1:31">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row>
    <row r="122" spans="1:31">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row>
    <row r="123" spans="1:31">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row>
    <row r="124" spans="1:31">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row>
    <row r="125" spans="1:31">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row>
    <row r="126" spans="1:31">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row>
    <row r="127" spans="1:31">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row>
    <row r="128" spans="1:31">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row>
    <row r="129" spans="1:31">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row>
    <row r="130" spans="1:31">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row>
    <row r="131" spans="1:31">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row>
    <row r="132" spans="1:31">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row>
    <row r="133" spans="1:31">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row>
    <row r="134" spans="1:31">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row>
    <row r="135" spans="1:31">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row>
    <row r="136" spans="1:3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row>
    <row r="137" spans="1:31">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row>
    <row r="138" spans="1:31">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row>
    <row r="139" spans="1:31">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row>
    <row r="140" spans="1:31">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row>
    <row r="141" spans="1:31">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row>
    <row r="142" spans="1:31">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row>
    <row r="143" spans="1:31">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row>
    <row r="144" spans="1:31">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row>
    <row r="145" spans="1:31">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row>
    <row r="146" spans="1:31">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row>
    <row r="147" spans="1:31">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row>
    <row r="148" spans="1:31">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row>
    <row r="149" spans="1:3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row>
    <row r="150" spans="1:31">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row>
    <row r="151" spans="1:31">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row>
    <row r="152" spans="1:31">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row>
    <row r="153" spans="1:31">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row>
    <row r="154" spans="1:31">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row>
    <row r="155" spans="1:31">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row>
    <row r="156" spans="1:31">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row>
    <row r="157" spans="1:31">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row>
    <row r="158" spans="1:31">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row>
    <row r="159" spans="1:31">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row>
    <row r="160" spans="1:31">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row>
    <row r="161" spans="1:31">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row>
    <row r="162" spans="1:31">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row>
    <row r="163" spans="1:31">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row>
    <row r="164" spans="1:31">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row>
    <row r="165" spans="1:31">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row>
    <row r="166" spans="1:31">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row>
    <row r="167" spans="1:31">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row>
    <row r="168" spans="1:31">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row>
    <row r="169" spans="1:31">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row>
    <row r="170" spans="1:31">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row>
    <row r="171" spans="1:31">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row>
    <row r="172" spans="1:31">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row>
    <row r="173" spans="1:31">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row>
    <row r="174" spans="1:31">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row>
    <row r="175" spans="1:31">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row>
    <row r="176" spans="1:31">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row>
    <row r="177" spans="1:31">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row>
    <row r="178" spans="1:31">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row>
    <row r="179" spans="1:31">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row>
    <row r="180" spans="1:31">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row>
    <row r="181" spans="1:31">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row>
    <row r="182" spans="1:31">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row>
    <row r="183" spans="1:31">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row>
    <row r="184" spans="1:31">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row>
    <row r="185" spans="1:31">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row>
    <row r="186" spans="1:31">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row>
    <row r="187" spans="1:31">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row>
    <row r="188" spans="1:31">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row>
    <row r="189" spans="1:31">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row>
    <row r="190" spans="1:31">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row>
    <row r="191" spans="1:31">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row>
    <row r="192" spans="1:31">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row>
    <row r="193" spans="1:31">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row>
    <row r="194" spans="1:31">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row>
    <row r="195" spans="1:31">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row>
    <row r="196" spans="1:31">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row>
    <row r="197" spans="1:31">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row>
    <row r="198" spans="1:31">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row>
    <row r="199" spans="1:31">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row>
    <row r="200" spans="1:31">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row>
    <row r="201" spans="1:31">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row>
    <row r="202" spans="1:31">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row>
    <row r="203" spans="1:31">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row>
    <row r="204" spans="1:31">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row>
  </sheetData>
  <mergeCells count="11">
    <mergeCell ref="A15:E15"/>
    <mergeCell ref="L15:N15"/>
    <mergeCell ref="F16:H16"/>
    <mergeCell ref="I16:K16"/>
    <mergeCell ref="L16:N16"/>
    <mergeCell ref="F15:K15"/>
    <mergeCell ref="A12:G12"/>
    <mergeCell ref="A6:G6"/>
    <mergeCell ref="B10:G10"/>
    <mergeCell ref="A7:G7"/>
    <mergeCell ref="A8:G8"/>
  </mergeCells>
  <phoneticPr fontId="11" type="noConversion"/>
  <dataValidations count="1">
    <dataValidation type="list" allowBlank="1" showInputMessage="1" showErrorMessage="1" sqref="D20:D57" xr:uid="{00000000-0002-0000-0900-000000000000}">
      <formula1>eGRID_Subregions</formula1>
    </dataValidation>
  </dataValidations>
  <hyperlinks>
    <hyperlink ref="B11" r:id="rId1" location="/" xr:uid="{00000000-0004-0000-0900-000000000000}"/>
  </hyperlinks>
  <pageMargins left="0.25" right="0.25" top="0.25" bottom="0.5" header="0.5" footer="0.25"/>
  <pageSetup scale="82" orientation="portrait" r:id="rId2"/>
  <headerFooter alignWithMargins="0">
    <oddFooter>&amp;L&amp;"Arial,Italic"&amp;9EPA Climate Leaders Simplified GHG Emissions Calculator (Indirect 1.0)&amp;R&amp;"Arial,Italic"&amp;9&amp;P of &amp;N</oddFooter>
  </headerFooter>
  <rowBreaks count="1" manualBreakCount="1">
    <brk id="58" max="16383" man="1"/>
  </rowBreaks>
  <colBreaks count="1" manualBreakCount="1">
    <brk id="8" max="1048575" man="1"/>
  </col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dlc_DocId xmlns="0d2b0e73-ac98-4954-9133-51e7e58caf47">5P4DKNCRW2KX-173-2252</_dlc_DocId>
    <_dlc_DocIdUrl xmlns="0d2b0e73-ac98-4954-9133-51e7e58caf47">
      <Url>https://teams.cadmusgroup.com/sites/ESD/GHGSRT/_layouts/15/DocIdRedir.aspx?ID=5P4DKNCRW2KX-173-2252</Url>
      <Description>5P4DKNCRW2KX-173-2252</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A9E3D1CE2282624B8F15B03AB8CB1A97" ma:contentTypeVersion="0" ma:contentTypeDescription="Create a new document." ma:contentTypeScope="" ma:versionID="e9f3d9d90928fbc992128048876e8476">
  <xsd:schema xmlns:xsd="http://www.w3.org/2001/XMLSchema" xmlns:xs="http://www.w3.org/2001/XMLSchema" xmlns:p="http://schemas.microsoft.com/office/2006/metadata/properties" xmlns:ns2="0d2b0e73-ac98-4954-9133-51e7e58caf47" targetNamespace="http://schemas.microsoft.com/office/2006/metadata/properties" ma:root="true" ma:fieldsID="fe1f3f24d8b3be3f26904ac3454010ca" ns2:_="">
    <xsd:import namespace="0d2b0e73-ac98-4954-9133-51e7e58caf4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2b0e73-ac98-4954-9133-51e7e58caf4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9F24C8-B219-42D5-902B-37D2BC2F4D50}">
  <ds:schemaRefs>
    <ds:schemaRef ds:uri="http://schemas.microsoft.com/sharepoint/events"/>
  </ds:schemaRefs>
</ds:datastoreItem>
</file>

<file path=customXml/itemProps2.xml><?xml version="1.0" encoding="utf-8"?>
<ds:datastoreItem xmlns:ds="http://schemas.openxmlformats.org/officeDocument/2006/customXml" ds:itemID="{03FFF608-082B-4A7C-B214-6D5230364EFF}">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d2b0e73-ac98-4954-9133-51e7e58caf47"/>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9C339BF7-E7F1-48A1-B574-E05CF079A5D5}">
  <ds:schemaRefs>
    <ds:schemaRef ds:uri="http://schemas.microsoft.com/sharepoint/v3/contenttype/forms"/>
  </ds:schemaRefs>
</ds:datastoreItem>
</file>

<file path=customXml/itemProps4.xml><?xml version="1.0" encoding="utf-8"?>
<ds:datastoreItem xmlns:ds="http://schemas.openxmlformats.org/officeDocument/2006/customXml" ds:itemID="{D2B608B7-3819-49EB-8649-5F5C5CFBE8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2b0e73-ac98-4954-9133-51e7e58caf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168</vt:i4>
      </vt:variant>
    </vt:vector>
  </HeadingPairs>
  <TitlesOfParts>
    <vt:vector size="201" baseType="lpstr">
      <vt:lpstr>Introduction</vt:lpstr>
      <vt:lpstr>Boundary Questions</vt:lpstr>
      <vt:lpstr>Summary</vt:lpstr>
      <vt:lpstr>Stationary Combustion</vt:lpstr>
      <vt:lpstr>Mobile Sources</vt:lpstr>
      <vt:lpstr>Refrigeration and AC</vt:lpstr>
      <vt:lpstr>Fire Suppression</vt:lpstr>
      <vt:lpstr>Purchased Gases</vt:lpstr>
      <vt:lpstr>Electricity</vt:lpstr>
      <vt:lpstr>Steam</vt:lpstr>
      <vt:lpstr>Business Travel</vt:lpstr>
      <vt:lpstr>Commuting</vt:lpstr>
      <vt:lpstr>Upstream Trans and Dist</vt:lpstr>
      <vt:lpstr>Waste</vt:lpstr>
      <vt:lpstr>Offsets</vt:lpstr>
      <vt:lpstr>Unit Conversions</vt:lpstr>
      <vt:lpstr>Heat Content</vt:lpstr>
      <vt:lpstr>Emission Factors</vt:lpstr>
      <vt:lpstr>DropDown</vt:lpstr>
      <vt:lpstr>Help - Data Management</vt:lpstr>
      <vt:lpstr>Help - Stationary Combustion</vt:lpstr>
      <vt:lpstr>Help - Mobile Sources</vt:lpstr>
      <vt:lpstr>Help - Refrigeration and AC</vt:lpstr>
      <vt:lpstr>Help - Fire Suppression</vt:lpstr>
      <vt:lpstr>Help - Purchased Gases</vt:lpstr>
      <vt:lpstr>Help - Electricity</vt:lpstr>
      <vt:lpstr>Help - Market-Based Method</vt:lpstr>
      <vt:lpstr>Help - Steam</vt:lpstr>
      <vt:lpstr>Help - Business Travel</vt:lpstr>
      <vt:lpstr>Help - Commuting</vt:lpstr>
      <vt:lpstr>Help - Upstream Trans and Dist</vt:lpstr>
      <vt:lpstr>Help - Waste</vt:lpstr>
      <vt:lpstr>Help - Offsets</vt:lpstr>
      <vt:lpstr>Aluminum_Cans</vt:lpstr>
      <vt:lpstr>Aluminum_Ingot</vt:lpstr>
      <vt:lpstr>Asphalt_Concrete</vt:lpstr>
      <vt:lpstr>Asphalt_Shingles</vt:lpstr>
      <vt:lpstr>Beef</vt:lpstr>
      <vt:lpstr>Biodiesel_Heavy_Duty_CH4</vt:lpstr>
      <vt:lpstr>Biodiesel_Heavy_Duty_N2O</vt:lpstr>
      <vt:lpstr>Biodiesel_Lt_Duty_CH4</vt:lpstr>
      <vt:lpstr>Biodiesel_Lt_Duty_N2O</vt:lpstr>
      <vt:lpstr>Biz_Travel_Fctr</vt:lpstr>
      <vt:lpstr>BizTravel_Air</vt:lpstr>
      <vt:lpstr>BizTravel_PassMiles</vt:lpstr>
      <vt:lpstr>BizTravel_Vehicle</vt:lpstr>
      <vt:lpstr>Branches</vt:lpstr>
      <vt:lpstr>Bread</vt:lpstr>
      <vt:lpstr>C_AtomicMass</vt:lpstr>
      <vt:lpstr>Carpet</vt:lpstr>
      <vt:lpstr>CH4_GWP</vt:lpstr>
      <vt:lpstr>Clay_Bricks</vt:lpstr>
      <vt:lpstr>CNG_Buses_CH4</vt:lpstr>
      <vt:lpstr>CNG_Buses_N2O</vt:lpstr>
      <vt:lpstr>CNG_Heavy_Duty_CH4</vt:lpstr>
      <vt:lpstr>CNG_Heavy_Duty_N2O</vt:lpstr>
      <vt:lpstr>CNG_Lt_Duty_CH4</vt:lpstr>
      <vt:lpstr>CNG_Lt_Duty_N2O</vt:lpstr>
      <vt:lpstr>Concrete</vt:lpstr>
      <vt:lpstr>Copper_Wire</vt:lpstr>
      <vt:lpstr>Corrugated_Containers</vt:lpstr>
      <vt:lpstr>CRT_Displays</vt:lpstr>
      <vt:lpstr>Dairy_Products</vt:lpstr>
      <vt:lpstr>Data_Entry_Sheet</vt:lpstr>
      <vt:lpstr>Data_Entry_Sheet2</vt:lpstr>
      <vt:lpstr>Desktop_CPUs</vt:lpstr>
      <vt:lpstr>Diesel_Heavy_Trucks_CH4_N2O</vt:lpstr>
      <vt:lpstr>Diesel_Lt_Trucks_CH4_N2O</vt:lpstr>
      <vt:lpstr>Diesel_pass_CH4_N2O</vt:lpstr>
      <vt:lpstr>Diesel_Present_Heavy_Duty_CH4</vt:lpstr>
      <vt:lpstr>Diesel_Present_Heavy_Duty_N2O</vt:lpstr>
      <vt:lpstr>Diesel_Present_Lt_Duty_CH4</vt:lpstr>
      <vt:lpstr>Diesel_Present_Lt_Duty_N2O</vt:lpstr>
      <vt:lpstr>Dimensional_Lumber</vt:lpstr>
      <vt:lpstr>Drywall</vt:lpstr>
      <vt:lpstr>eGRID_em_Fctrs</vt:lpstr>
      <vt:lpstr>eGRID_Subregions</vt:lpstr>
      <vt:lpstr>Electronic_Peripherals</vt:lpstr>
      <vt:lpstr>Waste!Em_by_ProdTransType</vt:lpstr>
      <vt:lpstr>Em_by_ProdTransType</vt:lpstr>
      <vt:lpstr>Ethanol_Buses_CH4</vt:lpstr>
      <vt:lpstr>Ethanol_Buses_N2O</vt:lpstr>
      <vt:lpstr>Ethanol_Heavy_Duty_CH4</vt:lpstr>
      <vt:lpstr>Ethanol_Heavy_Duty_N2O</vt:lpstr>
      <vt:lpstr>Ethanol_Lt_Duty_CH4</vt:lpstr>
      <vt:lpstr>Ethanol_Lt_Duty_N2O</vt:lpstr>
      <vt:lpstr>Fiberglass_Insulation</vt:lpstr>
      <vt:lpstr>FireSupp_Equip</vt:lpstr>
      <vt:lpstr>FireSupp_Gas</vt:lpstr>
      <vt:lpstr>Fixed_FireLeakRate</vt:lpstr>
      <vt:lpstr>Flat_panel_Displays</vt:lpstr>
      <vt:lpstr>Fly_Ash</vt:lpstr>
      <vt:lpstr>Food_Waste</vt:lpstr>
      <vt:lpstr>Food_Waste_meat_only</vt:lpstr>
      <vt:lpstr>Food_Waste_non_meat</vt:lpstr>
      <vt:lpstr>'Help - Data Management'!FoodSales</vt:lpstr>
      <vt:lpstr>'Help - Data Management'!FoodService</vt:lpstr>
      <vt:lpstr>Fruits_and_Vegetables</vt:lpstr>
      <vt:lpstr>Fuel_Type</vt:lpstr>
      <vt:lpstr>Gas</vt:lpstr>
      <vt:lpstr>Gas_Heavy_Duty_CH4_N2O</vt:lpstr>
      <vt:lpstr>Gas_Lt_Duty_Trucks_CH4_N2O</vt:lpstr>
      <vt:lpstr>Gas_Motorcycle_CH4_N2O</vt:lpstr>
      <vt:lpstr>Gas_Pass_Car_CH4_N2O</vt:lpstr>
      <vt:lpstr>Gas_Present_Heavy_Duty_CH4</vt:lpstr>
      <vt:lpstr>Gas_Present_Heavy_Duty_N2O</vt:lpstr>
      <vt:lpstr>Gas_Present_Lt_Duty_CH4</vt:lpstr>
      <vt:lpstr>Gas_Present_Lt_Duty_N2O</vt:lpstr>
      <vt:lpstr>GHGs</vt:lpstr>
      <vt:lpstr>Glass</vt:lpstr>
      <vt:lpstr>Grains</vt:lpstr>
      <vt:lpstr>Grass</vt:lpstr>
      <vt:lpstr>GWP</vt:lpstr>
      <vt:lpstr>Hard_copy_Devices</vt:lpstr>
      <vt:lpstr>HDPE</vt:lpstr>
      <vt:lpstr>'Help - Data Management'!HealthIn</vt:lpstr>
      <vt:lpstr>'Help - Data Management'!HealthOut</vt:lpstr>
      <vt:lpstr>Help_Navigation</vt:lpstr>
      <vt:lpstr>Help_sheet</vt:lpstr>
      <vt:lpstr>kg_per_lb</vt:lpstr>
      <vt:lpstr>Landfill_Gas_scf_per_mmBtu</vt:lpstr>
      <vt:lpstr>Landfill_Gas_scf_per_therm</vt:lpstr>
      <vt:lpstr>LDPE</vt:lpstr>
      <vt:lpstr>Leaves</vt:lpstr>
      <vt:lpstr>Liquid</vt:lpstr>
      <vt:lpstr>LLDPE</vt:lpstr>
      <vt:lpstr>LNG_Heavy_Duty_CH4</vt:lpstr>
      <vt:lpstr>LNG_Heavy_Duty_N2O</vt:lpstr>
      <vt:lpstr>'Help - Data Management'!Lodging</vt:lpstr>
      <vt:lpstr>LPG_Heavy_Duty_CH4</vt:lpstr>
      <vt:lpstr>LPG_Heavy_Duty_N2O</vt:lpstr>
      <vt:lpstr>LPG_Lt_Duty_CH4</vt:lpstr>
      <vt:lpstr>LPG_Lt_Duty_N2O</vt:lpstr>
      <vt:lpstr>Magazines_and_Third_class_mail</vt:lpstr>
      <vt:lpstr>Mass_Dropdown</vt:lpstr>
      <vt:lpstr>Medium_density_Fiberboard</vt:lpstr>
      <vt:lpstr>Mixed_Electronics</vt:lpstr>
      <vt:lpstr>Mixed_Metals</vt:lpstr>
      <vt:lpstr>Mixed_MSW_municipal_solid_waste</vt:lpstr>
      <vt:lpstr>Mixed_Organics</vt:lpstr>
      <vt:lpstr>Mixed_Paper_general</vt:lpstr>
      <vt:lpstr>Mixed_Paper_primarily_from_offices</vt:lpstr>
      <vt:lpstr>Mixed_Paper_primarily_residential</vt:lpstr>
      <vt:lpstr>Mixed_Plastics</vt:lpstr>
      <vt:lpstr>Mixed_Recyclables</vt:lpstr>
      <vt:lpstr>Mobile_Avgas_CO2fctr</vt:lpstr>
      <vt:lpstr>Mobile_Biodiesel_CO2fctr</vt:lpstr>
      <vt:lpstr>Mobile_CNG_CO2fctr</vt:lpstr>
      <vt:lpstr>Mobile_diesel_CO2fctr</vt:lpstr>
      <vt:lpstr>Mobile_Ethanol_CO2fctr</vt:lpstr>
      <vt:lpstr>Mobile_FuelOil_CO2fctr</vt:lpstr>
      <vt:lpstr>Mobile_gas_CO2fctr</vt:lpstr>
      <vt:lpstr>Mobile_Jet_Fuel_CO2fctr</vt:lpstr>
      <vt:lpstr>Mobile_LNG_CO2fctr</vt:lpstr>
      <vt:lpstr>Mobile_LPG_CO2fctr</vt:lpstr>
      <vt:lpstr>N2O_GWP</vt:lpstr>
      <vt:lpstr>Natural_Gas_scf_per_mmBtu</vt:lpstr>
      <vt:lpstr>Natural_Gas_scf_per_therm</vt:lpstr>
      <vt:lpstr>Newspaper</vt:lpstr>
      <vt:lpstr>Non_Highway_Vehicles_Ch4_N2O</vt:lpstr>
      <vt:lpstr>NonRoad</vt:lpstr>
      <vt:lpstr>'Help - Data Management'!Office</vt:lpstr>
      <vt:lpstr>Office_Paper</vt:lpstr>
      <vt:lpstr>OnRoad</vt:lpstr>
      <vt:lpstr>'Help - Data Management'!Other</vt:lpstr>
      <vt:lpstr>PET</vt:lpstr>
      <vt:lpstr>Phonebooks</vt:lpstr>
      <vt:lpstr>PLA</vt:lpstr>
      <vt:lpstr>Portable_Electronic_Devices</vt:lpstr>
      <vt:lpstr>Portable_FireLeakRate</vt:lpstr>
      <vt:lpstr>Poultry</vt:lpstr>
      <vt:lpstr>PP</vt:lpstr>
      <vt:lpstr>Prod_Trans_TonMiles</vt:lpstr>
      <vt:lpstr>Prod_Trans_VehicleMiles</vt:lpstr>
      <vt:lpstr>Prod_TransTM_fctrs</vt:lpstr>
      <vt:lpstr>Prod_TransVM_Fctrs</vt:lpstr>
      <vt:lpstr>Propane_Gas_scf_per_mmBtu</vt:lpstr>
      <vt:lpstr>Propane_Gas_scf_per_therm</vt:lpstr>
      <vt:lpstr>PS</vt:lpstr>
      <vt:lpstr>'Help - Data Management'!PublicAssembly</vt:lpstr>
      <vt:lpstr>'Help - Data Management'!PublicOrder</vt:lpstr>
      <vt:lpstr>PVC</vt:lpstr>
      <vt:lpstr>Refrig</vt:lpstr>
      <vt:lpstr>Refrig_Equip</vt:lpstr>
      <vt:lpstr>'Help - Data Management'!RetailOther</vt:lpstr>
      <vt:lpstr>'Help - Data Management'!RetailStripMalls</vt:lpstr>
      <vt:lpstr>'Help - Data Management'!Service</vt:lpstr>
      <vt:lpstr>Solid</vt:lpstr>
      <vt:lpstr>Stationary_Fuel_Fctrs_mmBtu</vt:lpstr>
      <vt:lpstr>Stationary_Fuel_Fctrs_unit</vt:lpstr>
      <vt:lpstr>Steam_Fuel_Type</vt:lpstr>
      <vt:lpstr>Steel_Cans</vt:lpstr>
      <vt:lpstr>Tab_navigation</vt:lpstr>
      <vt:lpstr>Textbooks</vt:lpstr>
      <vt:lpstr>Tires</vt:lpstr>
      <vt:lpstr>'Help - Data Management'!Vacant</vt:lpstr>
      <vt:lpstr>Vinyl_Flooring</vt:lpstr>
      <vt:lpstr>'Help - Data Management'!Warehouse</vt:lpstr>
      <vt:lpstr>Wood_Flooring</vt:lpstr>
      <vt:lpstr>'Help - Data Management'!Worship</vt:lpstr>
      <vt:lpstr>Yard_Trimmings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Eisenbrown, Katie</dc:creator>
  <cp:keywords>Center for Corporate Climate Leadship</cp:keywords>
  <cp:lastModifiedBy>ubuntu</cp:lastModifiedBy>
  <cp:lastPrinted>2011-04-29T20:59:33Z</cp:lastPrinted>
  <dcterms:created xsi:type="dcterms:W3CDTF">2002-12-27T21:28:48Z</dcterms:created>
  <dcterms:modified xsi:type="dcterms:W3CDTF">2023-07-28T09:06:08Z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Center for Corporate Climate Leadship|983b13d1-4cfd-4ee5-931a-7ac871dd0f61</vt:lpwstr>
  </property>
  <property fmtid="{D5CDD505-2E9C-101B-9397-08002B2CF9AE}" pid="3" name="WorkLead">
    <vt:lpwstr/>
  </property>
  <property fmtid="{D5CDD505-2E9C-101B-9397-08002B2CF9AE}" pid="4" name="Managers">
    <vt:lpwstr/>
  </property>
  <property fmtid="{D5CDD505-2E9C-101B-9397-08002B2CF9AE}" pid="5" name="Project Period of Performance Start Date">
    <vt:lpwstr/>
  </property>
  <property fmtid="{D5CDD505-2E9C-101B-9397-08002B2CF9AE}" pid="6" name="RetentionExemption">
    <vt:lpwstr>false</vt:lpwstr>
  </property>
  <property fmtid="{D5CDD505-2E9C-101B-9397-08002B2CF9AE}" pid="7" name="PhaseName">
    <vt:lpwstr>Phase 1</vt:lpwstr>
  </property>
  <property fmtid="{D5CDD505-2E9C-101B-9397-08002B2CF9AE}" pid="8" name="ProjectTOWAName">
    <vt:lpwstr/>
  </property>
  <property fmtid="{D5CDD505-2E9C-101B-9397-08002B2CF9AE}" pid="9" name="ProjectTask">
    <vt:lpwstr>Not in Use</vt:lpwstr>
  </property>
  <property fmtid="{D5CDD505-2E9C-101B-9397-08002B2CF9AE}" pid="10" name="o862737f445746b494e2139aeb29e646">
    <vt:lpwstr/>
  </property>
  <property fmtid="{D5CDD505-2E9C-101B-9397-08002B2CF9AE}" pid="11" name="g50616bc87614647a90e999144457760">
    <vt:lpwstr/>
  </property>
  <property fmtid="{D5CDD505-2E9C-101B-9397-08002B2CF9AE}" pid="12" name="DocumentSetDescription">
    <vt:lpwstr/>
  </property>
  <property fmtid="{D5CDD505-2E9C-101B-9397-08002B2CF9AE}" pid="13" name="m5f81a6254e44a55996bb6356c849e0c">
    <vt:lpwstr/>
  </property>
  <property fmtid="{D5CDD505-2E9C-101B-9397-08002B2CF9AE}" pid="14" name="b5df6f1f3e23409d9f5e1fce19348e51">
    <vt:lpwstr/>
  </property>
  <property fmtid="{D5CDD505-2E9C-101B-9397-08002B2CF9AE}" pid="15" name="TaxCatchAll">
    <vt:lpwstr/>
  </property>
  <property fmtid="{D5CDD505-2E9C-101B-9397-08002B2CF9AE}" pid="16" name="Project Period of Performance End Date">
    <vt:lpwstr/>
  </property>
  <property fmtid="{D5CDD505-2E9C-101B-9397-08002B2CF9AE}" pid="17" name="a6be725d576043378de6f214f0e78ee4">
    <vt:lpwstr/>
  </property>
  <property fmtid="{D5CDD505-2E9C-101B-9397-08002B2CF9AE}" pid="18" name="od8879f902fd47c7bc2aee162c9e5240">
    <vt:lpwstr/>
  </property>
  <property fmtid="{D5CDD505-2E9C-101B-9397-08002B2CF9AE}" pid="19" name="j996553e0ae54d4984db0606efb6351c">
    <vt:lpwstr/>
  </property>
  <property fmtid="{D5CDD505-2E9C-101B-9397-08002B2CF9AE}" pid="20" name="if0a8aeaad58489cbaf27eea2233913d">
    <vt:lpwstr/>
  </property>
  <property fmtid="{D5CDD505-2E9C-101B-9397-08002B2CF9AE}" pid="21" name="ContractName">
    <vt:lpwstr>5496</vt:lpwstr>
  </property>
  <property fmtid="{D5CDD505-2E9C-101B-9397-08002B2CF9AE}" pid="22" name="ContractNumber">
    <vt:lpwstr/>
  </property>
  <property fmtid="{D5CDD505-2E9C-101B-9397-08002B2CF9AE}" pid="23" name="a6d0b0f5ac9d4fa8b2e660c59fbea416">
    <vt:lpwstr/>
  </property>
  <property fmtid="{D5CDD505-2E9C-101B-9397-08002B2CF9AE}" pid="24" name="ProjectOwner_PrincipalInvestigator">
    <vt:lpwstr/>
  </property>
  <property fmtid="{D5CDD505-2E9C-101B-9397-08002B2CF9AE}" pid="25" name="ContractCostPointNumber">
    <vt:lpwstr/>
  </property>
  <property fmtid="{D5CDD505-2E9C-101B-9397-08002B2CF9AE}" pid="26" name="ProgramName">
    <vt:lpwstr>Not in Use</vt:lpwstr>
  </property>
  <property fmtid="{D5CDD505-2E9C-101B-9397-08002B2CF9AE}" pid="27" name="f579045f93c34d4baadb74be2d3a98b1">
    <vt:lpwstr/>
  </property>
  <property fmtid="{D5CDD505-2E9C-101B-9397-08002B2CF9AE}" pid="28" name="ProjectName">
    <vt:lpwstr>ESIB CCCL 2013-14</vt:lpwstr>
  </property>
  <property fmtid="{D5CDD505-2E9C-101B-9397-08002B2CF9AE}" pid="29" name="ContentTypeId">
    <vt:lpwstr>0x010100A9E3D1CE2282624B8F15B03AB8CB1A97</vt:lpwstr>
  </property>
  <property fmtid="{D5CDD505-2E9C-101B-9397-08002B2CF9AE}" pid="30" name="_dlc_DocIdItemGuid">
    <vt:lpwstr>af35e9d0-e025-43c4-9229-4904477775b9</vt:lpwstr>
  </property>
</Properties>
</file>